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jjohnson\Documents\Sourcing\Conflict Minerals\"/>
    </mc:Choice>
  </mc:AlternateContent>
  <xr:revisionPtr revIDLastSave="0" documentId="13_ncr:1_{27767C32-29F2-4F4E-B09F-8DDA2CB7BA15}" xr6:coauthVersionLast="36" xr6:coauthVersionMax="36" xr10:uidLastSave="{00000000-0000-0000-0000-000000000000}"/>
  <workbookProtection workbookPassword="E31B" lockStructure="1"/>
  <bookViews>
    <workbookView xWindow="0" yWindow="0" windowWidth="15750" windowHeight="86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2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3" i="6" l="1"/>
  <c r="C12" i="6"/>
  <c r="C13" i="6"/>
  <c r="C11" i="6"/>
  <c r="C10" i="6"/>
  <c r="C8" i="6"/>
  <c r="C7" i="6"/>
  <c r="C5" i="6"/>
  <c r="C4" i="6"/>
  <c r="B43" i="6"/>
  <c r="B38" i="6"/>
  <c r="G38" i="6" s="1"/>
  <c r="B48" i="6"/>
  <c r="G48" i="6" s="1"/>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104" i="5"/>
  <c r="B101" i="5"/>
  <c r="C89" i="5"/>
  <c r="B88" i="5"/>
  <c r="B85" i="5"/>
  <c r="B74" i="5"/>
  <c r="B69" i="5"/>
  <c r="C68" i="5"/>
  <c r="C66" i="5"/>
  <c r="C61" i="5"/>
  <c r="B60" i="5"/>
  <c r="C58" i="5"/>
  <c r="C54" i="5"/>
  <c r="C53" i="5"/>
  <c r="C50" i="5"/>
  <c r="C46" i="5"/>
  <c r="C45" i="5"/>
  <c r="B42" i="5"/>
  <c r="B38" i="5"/>
  <c r="C37" i="5"/>
  <c r="C35" i="5"/>
  <c r="C33" i="5"/>
  <c r="B31" i="5"/>
  <c r="C30"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C105" i="5"/>
  <c r="C86" i="5"/>
  <c r="C84" i="5"/>
  <c r="C78" i="5"/>
  <c r="B76" i="5"/>
  <c r="B72" i="5"/>
  <c r="B67" i="5"/>
  <c r="B64" i="5"/>
  <c r="C63" i="5"/>
  <c r="B59" i="5"/>
  <c r="C57" i="5"/>
  <c r="B56" i="5"/>
  <c r="B55" i="5"/>
  <c r="B51" i="5"/>
  <c r="C49" i="5"/>
  <c r="B47" i="5"/>
  <c r="C41" i="5"/>
  <c r="C39" i="5"/>
  <c r="B36" i="5"/>
  <c r="B34" i="5"/>
  <c r="B32" i="5"/>
  <c r="B29" i="5"/>
  <c r="C28" i="5"/>
  <c r="B27" i="5"/>
  <c r="C26" i="5"/>
  <c r="B2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F63" i="6"/>
  <c r="F36" i="6"/>
  <c r="G21" i="6"/>
  <c r="H21" i="6" s="1"/>
  <c r="B26" i="6"/>
  <c r="G26" i="6" s="1"/>
  <c r="H26" i="6" s="1"/>
  <c r="C26" i="6" s="1"/>
  <c r="B36" i="6"/>
  <c r="B46" i="6"/>
  <c r="G46" i="6" s="1"/>
  <c r="G31" i="6"/>
  <c r="H22" i="6"/>
  <c r="D22" i="6" s="1"/>
  <c r="G47" i="6"/>
  <c r="G42" i="6"/>
  <c r="K65" i="6"/>
  <c r="G27" i="6"/>
  <c r="G32" i="6"/>
  <c r="G43" i="6"/>
  <c r="G35" i="6"/>
  <c r="G28" i="6"/>
  <c r="G33" i="6"/>
  <c r="G41" i="6"/>
  <c r="G37" i="6"/>
  <c r="F28" i="6"/>
  <c r="F50" i="6" s="1"/>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25" i="6" l="1"/>
  <c r="C25" i="6" s="1"/>
  <c r="G36" i="6"/>
  <c r="H47" i="6"/>
  <c r="H36" i="6"/>
  <c r="C36" i="6" s="1"/>
  <c r="H42" i="6"/>
  <c r="C42" i="6" s="1"/>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2" i="6" l="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33" i="5"/>
  <c r="T499" i="5"/>
  <c r="T381" i="5"/>
  <c r="T35"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28"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7"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12" i="5"/>
  <c r="T6" i="5"/>
  <c r="T5" i="5"/>
  <c r="T18" i="5"/>
  <c r="T8" i="5"/>
  <c r="T23" i="5"/>
  <c r="T15" i="5"/>
  <c r="T17" i="5"/>
  <c r="T13" i="5"/>
  <c r="T7" i="5"/>
  <c r="T19" i="5"/>
  <c r="T16" i="5"/>
  <c r="T10" i="5"/>
  <c r="T22" i="5"/>
  <c r="S17" i="5"/>
  <c r="T21" i="5"/>
  <c r="T20" i="5"/>
  <c r="T14" i="5"/>
  <c r="T9" i="5"/>
  <c r="T24" i="5"/>
  <c r="H65" i="6" l="1"/>
  <c r="D65" i="6" s="1"/>
  <c r="C65"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27" i="5"/>
  <c r="S351" i="5"/>
  <c r="S542" i="5"/>
  <c r="S145" i="5"/>
  <c r="S181" i="5"/>
  <c r="S6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3" i="5"/>
  <c r="S16" i="5"/>
  <c r="S10" i="5"/>
  <c r="S11" i="5"/>
  <c r="S6" i="5"/>
  <c r="S9" i="5"/>
  <c r="S22" i="5"/>
  <c r="S5" i="5"/>
  <c r="S8" i="5"/>
  <c r="S20" i="5"/>
  <c r="S19" i="5"/>
  <c r="S18" i="5"/>
  <c r="S21" i="5"/>
  <c r="S23" i="5"/>
  <c r="S15" i="5"/>
  <c r="S14" i="5"/>
  <c r="S12" i="5"/>
  <c r="S24"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<sst xmlns="http://schemas.openxmlformats.org/spreadsheetml/2006/main" count="21695" uniqueCount="15531">
  <si>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</si>
  <si>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</si>
  <si>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</si>
  <si>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</si>
  <si>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</si>
  <si>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</si>
  <si>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</si>
  <si>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</si>
  <si>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</si>
  <si>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</si>
  <si>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</si>
  <si>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</si>
  <si>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</si>
  <si>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</si>
  <si>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</si>
  <si>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</si>
  <si>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</si>
  <si>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</si>
  <si>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</si>
  <si>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</si>
  <si>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</si>
  <si>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</si>
  <si>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</si>
  <si>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</si>
  <si>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</si>
  <si>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</si>
  <si>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</si>
  <si>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</si>
  <si>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</si>
  <si>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</si>
  <si>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</si>
  <si>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</si>
  <si>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</si>
  <si>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</si>
  <si>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</si>
  <si>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</si>
  <si>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</si>
  <si>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</si>
  <si>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</si>
  <si>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</si>
  <si>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</si>
  <si>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</si>
  <si>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</si>
  <si>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</si>
  <si>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</si>
  <si>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</si>
  <si>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</si>
  <si>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</si>
  <si>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</si>
  <si>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</si>
  <si>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</si>
  <si>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</si>
  <si>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</si>
  <si>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</si>
  <si>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</si>
  <si>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</si>
  <si>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</si>
  <si>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</si>
  <si>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</si>
  <si>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</si>
  <si>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</si>
  <si>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</si>
  <si>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</si>
  <si>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</si>
  <si>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</si>
  <si>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</si>
  <si>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</si>
  <si>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</si>
  <si>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</si>
  <si>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</si>
  <si>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</si>
  <si>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</si>
  <si>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</si>
  <si>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</si>
  <si>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</si>
  <si>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</si>
  <si>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</si>
  <si>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</si>
  <si>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</si>
  <si>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</si>
  <si>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</si>
  <si>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</si>
  <si>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</si>
  <si>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</si>
  <si>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</si>
  <si>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</si>
  <si>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</si>
  <si>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</si>
  <si>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</si>
  <si>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</si>
  <si>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</si>
  <si>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</si>
  <si>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</si>
  <si>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</si>
  <si>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</si>
  <si>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</si>
  <si>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</si>
  <si>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</si>
  <si>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</si>
  <si>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</si>
  <si>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</si>
  <si>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</si>
  <si>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</si>
  <si>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</si>
  <si>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</si>
  <si>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</si>
  <si>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</si>
  <si>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</si>
  <si>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</si>
  <si>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</si>
  <si>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</si>
  <si>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</si>
  <si>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</si>
  <si>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</si>
  <si>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</si>
  <si>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</si>
  <si>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</si>
  <si>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</si>
  <si>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</si>
  <si>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</si>
  <si>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</si>
  <si>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</si>
  <si>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</si>
  <si>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</si>
  <si>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</si>
  <si>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</si>
  <si>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</si>
  <si>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</si>
  <si>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</si>
  <si>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</si>
  <si>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</si>
  <si>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</si>
  <si>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</si>
  <si>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</si>
  <si>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</si>
  <si>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</si>
  <si>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</si>
  <si>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</si>
  <si>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</si>
  <si>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</si>
  <si>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</si>
  <si>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</si>
  <si>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</si>
  <si>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</si>
  <si>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</si>
  <si>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</si>
  <si>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</si>
  <si>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</si>
  <si>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</si>
  <si>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</si>
  <si>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</si>
  <si>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</si>
  <si>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</si>
  <si>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</si>
  <si>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</si>
  <si>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</si>
  <si>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</si>
  <si>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</si>
  <si>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</si>
  <si>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</si>
  <si>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</si>
  <si>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</si>
  <si>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</si>
  <si>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</si>
  <si>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</si>
  <si>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</si>
  <si>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</si>
  <si>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</si>
  <si>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</si>
  <si>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</si>
  <si>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</si>
  <si>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</si>
  <si>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</si>
  <si>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</si>
  <si>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</si>
  <si>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</si>
  <si>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</si>
  <si>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</si>
  <si>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</si>
  <si>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</si>
  <si>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</si>
  <si>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</si>
  <si>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</si>
  <si>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</si>
  <si>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</si>
  <si>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</si>
  <si>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</si>
  <si>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</si>
  <si>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</si>
  <si>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</si>
  <si>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</si>
  <si>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</si>
  <si>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</si>
  <si>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</si>
  <si>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</si>
  <si>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</si>
  <si>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</si>
  <si>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</si>
  <si>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</si>
  <si>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</si>
  <si>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</si>
  <si>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</si>
  <si>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</si>
  <si>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</si>
  <si>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</si>
  <si>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</si>
  <si>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</si>
  <si>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</si>
  <si>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</si>
  <si>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</si>
  <si>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</si>
  <si>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</si>
  <si>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</si>
  <si>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</si>
  <si>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</si>
  <si>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</si>
  <si>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</si>
  <si>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</si>
  <si>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</si>
  <si>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</si>
  <si>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</si>
  <si>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</si>
  <si>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</si>
  <si>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</si>
  <si>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</si>
  <si>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</si>
  <si>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</si>
  <si>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</si>
  <si>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</si>
  <si>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</si>
  <si>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</si>
  <si>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</si>
  <si>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</si>
  <si>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</si>
  <si>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</si>
  <si>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</si>
  <si>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</si>
  <si>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</si>
  <si>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</si>
  <si>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</si>
  <si>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</si>
  <si>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</si>
  <si>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</si>
  <si>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</si>
  <si>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</si>
  <si>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</si>
  <si>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</si>
  <si>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</si>
  <si>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</si>
  <si>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</si>
  <si>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</si>
  <si>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</si>
  <si>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</si>
  <si>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</si>
  <si>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</si>
  <si>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</si>
  <si>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</si>
  <si>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</si>
  <si>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</si>
  <si>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</si>
  <si>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</si>
  <si>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</si>
  <si>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</si>
  <si>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</si>
  <si>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</si>
  <si>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</si>
  <si>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</si>
  <si>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</si>
  <si>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</si>
  <si>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</si>
  <si>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</si>
  <si>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</si>
  <si>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</si>
  <si>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</si>
  <si>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</si>
  <si>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</si>
  <si>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</si>
  <si>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</si>
  <si>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</si>
  <si>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</si>
  <si>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</si>
  <si>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</si>
  <si>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</si>
  <si>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</si>
  <si>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</si>
  <si>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</si>
  <si>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</si>
  <si>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</si>
  <si>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</si>
  <si>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</si>
  <si>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</si>
  <si>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</si>
  <si>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</si>
  <si>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</si>
  <si>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</si>
  <si>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</si>
  <si>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</si>
  <si>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</si>
  <si>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</si>
  <si>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</si>
  <si>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</si>
  <si>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</si>
  <si>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</si>
  <si>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</si>
  <si>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</si>
  <si>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</si>
  <si>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</si>
  <si>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</si>
  <si>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</si>
  <si>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</si>
  <si>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</si>
  <si>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</si>
  <si>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</si>
  <si>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</si>
  <si>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</si>
  <si>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</si>
  <si>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</si>
  <si>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</si>
  <si>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</si>
  <si>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</si>
  <si>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</si>
  <si>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</si>
  <si>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</si>
  <si>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</si>
  <si>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</si>
  <si>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</si>
  <si>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</si>
  <si>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</si>
  <si>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</si>
  <si>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</si>
  <si>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</si>
  <si>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</si>
  <si>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</si>
  <si>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</si>
  <si>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</si>
  <si>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</si>
  <si>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</si>
  <si>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</si>
  <si>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</si>
  <si>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</si>
  <si>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</si>
  <si>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</si>
  <si>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</si>
  <si>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</si>
  <si>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</si>
  <si>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</si>
  <si>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</si>
  <si>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</si>
  <si>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</si>
  <si>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</si>
  <si>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</si>
  <si>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</si>
  <si>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</si>
  <si>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</si>
  <si>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</si>
  <si>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</si>
  <si>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</si>
  <si>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</si>
  <si>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</si>
  <si>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</si>
  <si>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</si>
  <si>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</si>
  <si>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</si>
  <si>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</si>
  <si>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</si>
  <si>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</si>
  <si>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</si>
  <si>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</si>
  <si>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</si>
  <si>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</si>
  <si>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</si>
  <si>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</si>
  <si>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</si>
  <si>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</si>
  <si>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</si>
  <si>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</si>
  <si>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</si>
  <si>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</si>
  <si>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</si>
  <si>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</si>
  <si>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</si>
  <si>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</si>
  <si>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</si>
  <si>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</si>
  <si>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</si>
  <si>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</si>
  <si>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</si>
  <si>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</si>
  <si>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</si>
  <si>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</si>
  <si>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</si>
  <si>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</si>
  <si>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</si>
  <si>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</si>
  <si>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</si>
  <si>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</si>
  <si>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</si>
  <si>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</si>
  <si>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</si>
  <si>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</si>
  <si>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</si>
  <si>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</si>
  <si>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</si>
  <si>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</si>
  <si>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</si>
  <si>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</si>
  <si>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</si>
  <si>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</si>
  <si>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</si>
  <si>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</si>
  <si>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</si>
  <si>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</si>
  <si>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</si>
  <si>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</si>
  <si>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</si>
  <si>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</si>
  <si>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</si>
  <si>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</si>
  <si>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</si>
  <si>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</si>
  <si>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</si>
  <si>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</si>
  <si>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</si>
  <si>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</si>
  <si>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</si>
  <si>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</si>
  <si>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</si>
  <si>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</si>
  <si>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</si>
  <si>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</si>
  <si>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</si>
  <si>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</si>
  <si>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</si>
  <si>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</si>
  <si>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</si>
  <si>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</si>
  <si>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</si>
  <si>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</si>
  <si>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</si>
  <si>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</si>
  <si>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</si>
  <si>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</si>
  <si>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</si>
  <si>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</si>
  <si>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</si>
  <si>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</si>
  <si>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</si>
  <si>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</si>
  <si>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</si>
  <si>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</si>
  <si>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</si>
  <si>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</si>
  <si>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</si>
  <si>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</si>
  <si>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</si>
  <si>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</si>
  <si>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</si>
  <si>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</si>
  <si>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</si>
  <si>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</si>
  <si>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</si>
  <si>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</si>
  <si>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</si>
  <si>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</si>
  <si>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</si>
  <si>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</si>
  <si>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</si>
  <si>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</si>
  <si>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</si>
  <si>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</si>
  <si>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</si>
  <si>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</si>
  <si>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</si>
  <si>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</si>
  <si>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</si>
  <si>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</si>
  <si>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</si>
  <si>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</si>
  <si>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</si>
  <si>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</si>
  <si>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</si>
  <si>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</si>
  <si>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</si>
  <si>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</si>
  <si>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</si>
  <si>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</si>
  <si>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</si>
  <si>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</si>
  <si>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</si>
  <si>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</si>
  <si>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</si>
  <si>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</si>
  <si>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</si>
  <si>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</si>
  <si>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</si>
  <si>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</si>
  <si>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</si>
  <si>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</si>
  <si>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</si>
  <si>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</si>
  <si>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</si>
  <si>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</si>
  <si>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</si>
  <si>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</si>
  <si>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</si>
  <si>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</si>
  <si>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</si>
  <si>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</si>
  <si>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</si>
  <si>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</si>
  <si>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</si>
  <si>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</si>
  <si>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</si>
  <si>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</si>
  <si>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</si>
  <si>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</si>
  <si>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</si>
  <si>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</si>
  <si>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</si>
  <si>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</si>
  <si>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</si>
  <si>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</si>
  <si>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</si>
  <si>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</si>
  <si>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</si>
  <si>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</si>
  <si>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</si>
  <si>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</si>
  <si>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</si>
  <si>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</si>
  <si>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</si>
  <si>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</si>
  <si>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</si>
  <si>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</si>
  <si>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</si>
  <si>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</si>
  <si>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</si>
  <si>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</si>
  <si>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</si>
  <si>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</si>
  <si>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</si>
  <si>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</si>
  <si>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</si>
  <si>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</si>
  <si>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</si>
  <si>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</si>
  <si>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</si>
  <si>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</si>
  <si>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</si>
  <si>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</si>
  <si>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</si>
  <si>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</si>
  <si>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</si>
  <si>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</si>
  <si>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</si>
  <si>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</si>
  <si>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</si>
  <si>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</si>
  <si>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</si>
  <si>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</si>
  <si>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</si>
  <si>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</si>
  <si>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</si>
  <si>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</si>
  <si>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</si>
  <si>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</si>
  <si>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</si>
  <si>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</si>
  <si>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</si>
  <si>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</si>
  <si>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</si>
  <si>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</si>
  <si>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</si>
  <si>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</si>
  <si>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</si>
  <si>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</si>
  <si>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</si>
  <si>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</si>
  <si>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</si>
  <si>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</si>
  <si>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</si>
  <si>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</si>
  <si>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</si>
  <si>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</si>
  <si>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</si>
  <si>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</si>
  <si>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</si>
  <si>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</si>
  <si>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</si>
  <si>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</si>
  <si>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</si>
  <si>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</si>
  <si>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</si>
  <si>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</si>
  <si>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</si>
  <si>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</si>
  <si>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</si>
  <si>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</si>
  <si>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</si>
  <si>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</si>
  <si>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</si>
  <si>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</si>
  <si>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</si>
  <si>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</si>
  <si>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</si>
  <si>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</si>
  <si>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</si>
  <si>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</si>
  <si>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</si>
  <si>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</si>
  <si>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</si>
  <si>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</si>
  <si>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</si>
  <si>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</si>
  <si>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</si>
  <si>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</si>
  <si>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</si>
  <si>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</si>
  <si>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</si>
  <si>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</si>
  <si>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</si>
  <si>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</si>
  <si>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</si>
  <si>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</si>
  <si>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</si>
  <si>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</si>
  <si>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</si>
  <si>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</si>
  <si>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</si>
  <si>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</si>
  <si>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</si>
  <si>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</si>
  <si>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</si>
  <si>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</si>
  <si>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</si>
  <si>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</si>
  <si>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</si>
  <si>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</si>
  <si>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</si>
  <si>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</si>
  <si>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</si>
  <si>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</si>
  <si>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</si>
  <si>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</si>
  <si>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</si>
  <si>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</si>
  <si>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</si>
  <si>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</si>
  <si>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</si>
  <si>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</si>
  <si>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</si>
  <si>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</si>
  <si>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</si>
  <si>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</si>
  <si>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</si>
  <si>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</si>
  <si>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</si>
  <si>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</si>
  <si>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</si>
  <si>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</si>
  <si>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</si>
  <si>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</si>
  <si>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</si>
  <si>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</si>
  <si>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</si>
  <si>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</si>
  <si>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</si>
  <si>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</si>
  <si>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</si>
  <si>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</si>
  <si>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</si>
  <si>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</si>
  <si>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</si>
  <si>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</si>
  <si>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</si>
  <si>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</si>
  <si>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</si>
  <si>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</si>
  <si>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</si>
  <si>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</si>
  <si>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</si>
  <si>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</si>
  <si>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</si>
  <si>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</si>
  <si>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</si>
  <si>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</si>
  <si>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</si>
  <si>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</si>
  <si>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</si>
  <si>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</si>
  <si>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</si>
  <si>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</si>
  <si>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</si>
  <si>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</si>
  <si>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</si>
  <si>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</si>
  <si>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</si>
  <si>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</si>
  <si>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</si>
  <si>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</si>
  <si>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</si>
  <si>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</si>
  <si>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</si>
  <si>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</si>
  <si>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</si>
  <si>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</si>
  <si>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</si>
  <si>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</si>
  <si>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</si>
  <si>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</si>
  <si>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</si>
  <si>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</si>
  <si>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</si>
  <si>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</si>
  <si>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</si>
  <si>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</si>
  <si>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</si>
  <si>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</si>
  <si>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</si>
  <si>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</si>
  <si>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</si>
  <si>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</si>
  <si>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</si>
  <si>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</si>
  <si>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</si>
  <si>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</si>
  <si>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</si>
  <si>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</si>
  <si>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</si>
  <si>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</si>
  <si>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</si>
  <si>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</si>
  <si>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</si>
  <si>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</si>
  <si>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</si>
  <si>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</si>
  <si>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</si>
  <si>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</si>
  <si>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</si>
  <si>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</si>
  <si>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</si>
  <si>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</si>
  <si>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</si>
  <si>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</si>
  <si>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</si>
  <si>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</si>
  <si>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</si>
  <si>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</si>
  <si>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</si>
  <si>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</si>
  <si>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</si>
  <si>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</si>
  <si>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</si>
  <si>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</si>
  <si>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</si>
  <si>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</si>
  <si>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</si>
  <si>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</si>
  <si>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</si>
  <si>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</si>
  <si>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</si>
  <si>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</si>
  <si>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</si>
  <si>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</si>
  <si>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</si>
  <si>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</si>
  <si>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</si>
  <si>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</si>
  <si>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</si>
  <si>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</si>
  <si>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</si>
  <si>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</si>
  <si>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</si>
  <si>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</si>
  <si>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</si>
  <si>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</si>
  <si>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</si>
  <si>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</si>
  <si>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</si>
  <si>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</si>
  <si>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</si>
  <si>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</si>
  <si>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</si>
  <si>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</si>
  <si>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</si>
  <si>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</si>
  <si>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</si>
  <si>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</si>
  <si>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</si>
  <si>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</si>
  <si>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</si>
  <si>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</si>
  <si>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</si>
  <si>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</si>
  <si>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</si>
  <si>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</si>
  <si>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</si>
  <si>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</si>
  <si>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</si>
  <si>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</si>
  <si>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</si>
  <si>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</si>
  <si>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</si>
  <si>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</si>
  <si>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</si>
  <si>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</si>
  <si>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</si>
  <si>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</si>
  <si>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</si>
  <si>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</si>
  <si>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</si>
  <si>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</si>
  <si>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</si>
  <si>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</si>
  <si>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</si>
  <si>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</si>
  <si>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</si>
  <si>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</si>
  <si>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</si>
  <si>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</si>
  <si>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</si>
  <si>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</si>
  <si>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</si>
  <si>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</si>
  <si>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</si>
  <si>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</si>
  <si>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</si>
  <si>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</si>
  <si>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</si>
  <si>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</si>
  <si>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</si>
  <si>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</si>
  <si>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</si>
  <si>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</si>
  <si>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</si>
  <si>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</si>
  <si>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</si>
  <si>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</si>
  <si>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</si>
  <si>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</si>
  <si>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</si>
  <si>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</si>
  <si>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</si>
  <si>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</si>
  <si>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</si>
  <si>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</si>
  <si>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</si>
  <si>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</si>
  <si>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</si>
  <si>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</si>
  <si>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</si>
  <si>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</si>
  <si>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</si>
  <si>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</si>
  <si>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</si>
  <si>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</si>
  <si>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</si>
  <si>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</si>
  <si>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</si>
  <si>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</si>
  <si>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</si>
  <si>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</si>
  <si>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</si>
  <si>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</si>
  <si>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</si>
  <si>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</si>
  <si>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</si>
  <si>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</si>
  <si>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</si>
  <si>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</si>
  <si>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</si>
  <si>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</si>
  <si>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</si>
  <si>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</si>
  <si>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</si>
  <si>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</si>
  <si>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</si>
  <si>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</si>
  <si>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</si>
  <si>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</si>
  <si>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</si>
  <si>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</si>
  <si>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</si>
  <si>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</si>
  <si>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</si>
  <si>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</si>
  <si>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</si>
  <si>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</si>
  <si>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</si>
  <si>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</si>
  <si>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</si>
  <si>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</si>
  <si>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</si>
  <si>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</si>
  <si>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</si>
  <si>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</si>
  <si>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</si>
  <si>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</si>
  <si>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</si>
  <si>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</si>
  <si>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</si>
  <si>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</si>
  <si>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</si>
  <si>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</si>
  <si>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</si>
  <si>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</si>
  <si>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</si>
  <si>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</si>
  <si>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</si>
  <si>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</si>
  <si>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</si>
  <si>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</si>
  <si>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</si>
  <si>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</si>
  <si>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</si>
  <si>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</si>
  <si>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</si>
  <si>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</si>
  <si>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</si>
  <si>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</si>
  <si>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</si>
  <si>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</si>
  <si>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</si>
  <si>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</si>
  <si>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</si>
  <si>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</si>
  <si>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</si>
  <si>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</si>
  <si>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</si>
  <si>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</si>
  <si>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</si>
  <si>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</si>
  <si>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</si>
  <si>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</si>
  <si>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</si>
  <si>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</si>
  <si>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</si>
  <si>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</si>
  <si>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</si>
  <si>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</si>
  <si>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</si>
  <si>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</si>
  <si>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</si>
  <si>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</si>
  <si>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</si>
  <si>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</si>
  <si>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</si>
  <si>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</si>
  <si>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</si>
  <si>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</si>
  <si>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</si>
  <si>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</si>
  <si>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</si>
  <si>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</si>
  <si>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</si>
  <si>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</si>
  <si>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</si>
  <si>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</si>
  <si>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</si>
  <si>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</si>
  <si>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</si>
  <si>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</si>
  <si>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</si>
  <si>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</si>
  <si>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</si>
  <si>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</si>
  <si>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</si>
  <si>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</si>
  <si>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</si>
  <si>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</si>
  <si>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</si>
  <si>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</si>
  <si>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</si>
  <si>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</si>
  <si>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</si>
  <si>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</si>
  <si>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</si>
  <si>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</si>
  <si>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</si>
  <si>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</si>
  <si>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</si>
  <si>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</si>
  <si>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</si>
  <si>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</si>
  <si>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</si>
  <si>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</si>
  <si>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</si>
  <si>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</si>
  <si>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</si>
  <si>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</si>
  <si>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</si>
  <si>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</si>
  <si>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</si>
  <si>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</si>
  <si>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</si>
  <si>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</si>
  <si>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</si>
  <si>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</si>
  <si>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</si>
  <si>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</si>
  <si>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</si>
  <si>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</si>
  <si>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</si>
  <si>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</si>
  <si>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</si>
  <si>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</si>
  <si>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</si>
  <si>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</si>
  <si>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</si>
  <si>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</si>
  <si>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</si>
  <si>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</si>
  <si>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</si>
  <si>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</si>
  <si>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</si>
  <si>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</si>
  <si>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</si>
  <si>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</si>
  <si>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</si>
  <si>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</si>
  <si>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</si>
  <si>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</si>
  <si>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</si>
  <si>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</si>
  <si>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</si>
  <si>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</si>
  <si>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</si>
  <si>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</si>
  <si>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</si>
  <si>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</si>
  <si>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</si>
  <si>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</si>
  <si>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</si>
  <si>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</si>
  <si>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</si>
  <si>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</si>
  <si>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</si>
  <si>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</si>
  <si>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</si>
  <si>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</si>
  <si>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</si>
  <si>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</si>
  <si>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</si>
  <si>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</si>
  <si>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</si>
  <si>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</si>
  <si>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</si>
  <si>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</si>
  <si>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</si>
  <si>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</si>
  <si>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</si>
  <si>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</si>
  <si>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</si>
  <si>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</si>
  <si>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</si>
  <si>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</si>
  <si>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</si>
  <si>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</si>
  <si>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</si>
  <si>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</si>
  <si>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</si>
  <si>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</si>
  <si>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</si>
  <si>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</si>
  <si>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</si>
  <si>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</si>
  <si>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</si>
  <si>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</si>
  <si>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</si>
  <si>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</si>
  <si>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</si>
  <si>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</si>
  <si>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</si>
  <si>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</si>
  <si>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</si>
  <si>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</si>
  <si>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</si>
  <si>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</si>
  <si>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</si>
  <si>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</si>
  <si>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</si>
  <si>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</si>
  <si>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</si>
  <si>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</si>
  <si>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</si>
  <si>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</si>
  <si>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</si>
  <si>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</si>
  <si>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</si>
  <si>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</si>
  <si>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</si>
  <si>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</si>
  <si>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</si>
  <si>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</si>
  <si>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</si>
  <si>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</si>
  <si>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</si>
  <si>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</si>
  <si>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</si>
  <si>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</si>
  <si>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</si>
  <si>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</si>
  <si>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</si>
  <si>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</si>
  <si>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</si>
  <si>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</si>
  <si>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</si>
  <si>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</si>
  <si>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</si>
  <si>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</si>
  <si>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</si>
  <si>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</si>
  <si>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</si>
  <si>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</si>
  <si>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</si>
  <si>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</si>
  <si>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</si>
  <si>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</si>
  <si>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</si>
  <si>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</si>
  <si>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</si>
  <si>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</si>
  <si>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</si>
  <si>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</si>
  <si>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</si>
  <si>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</si>
  <si>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</si>
  <si>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</si>
  <si>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</si>
  <si>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</si>
  <si>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</si>
  <si>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</si>
  <si>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</si>
  <si>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</si>
  <si>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</si>
  <si>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</si>
  <si>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</si>
  <si>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</si>
  <si>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</si>
  <si>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</si>
  <si>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</si>
  <si>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</si>
  <si>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</si>
  <si>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</si>
  <si>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</si>
  <si>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</si>
  <si>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</si>
  <si>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</si>
  <si>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</si>
  <si>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</si>
  <si>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</si>
  <si>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</si>
  <si>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</si>
  <si>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</si>
  <si>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</si>
  <si>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</si>
  <si>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</si>
  <si>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</si>
  <si>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</si>
  <si>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</si>
  <si>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</si>
  <si>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</si>
  <si>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</si>
  <si>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</si>
  <si>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</si>
  <si>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</si>
  <si>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</si>
  <si>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</si>
  <si>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</si>
  <si>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</si>
  <si>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</si>
  <si>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</si>
  <si>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</si>
  <si>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</si>
  <si>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</si>
  <si>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</si>
  <si>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</si>
  <si>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</si>
  <si>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</si>
  <si>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</si>
  <si>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</si>
  <si>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</si>
  <si>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</si>
  <si>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</si>
  <si>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</si>
  <si>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</si>
  <si>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</si>
  <si>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</si>
  <si>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</si>
  <si>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</si>
  <si>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</si>
  <si>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</si>
  <si>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</si>
  <si>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</si>
  <si>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</si>
  <si>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</si>
  <si>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</si>
  <si>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</si>
  <si>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</si>
  <si>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</si>
  <si>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</si>
  <si>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</si>
  <si>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</si>
  <si>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</si>
  <si>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</si>
  <si>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</si>
  <si>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</si>
  <si>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</si>
  <si>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</si>
  <si>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</si>
  <si>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</si>
  <si>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</si>
  <si>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</si>
  <si>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</si>
  <si>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</si>
  <si>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</si>
  <si>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</si>
  <si>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</si>
  <si>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</si>
  <si>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</si>
  <si>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</si>
  <si>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</si>
  <si>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</si>
  <si>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</si>
  <si>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</si>
  <si>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</si>
  <si>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</si>
  <si>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</si>
  <si>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</si>
  <si>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</si>
  <si>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</si>
  <si>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</si>
  <si>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</si>
  <si>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</si>
  <si>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</si>
  <si>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</si>
  <si>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</si>
  <si>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</si>
  <si>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</si>
  <si>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</si>
  <si>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</si>
  <si>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</si>
  <si>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</si>
  <si>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</si>
  <si>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</si>
  <si>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</si>
  <si>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</si>
  <si>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</si>
  <si>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</si>
  <si>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</si>
  <si>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</si>
  <si>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</si>
  <si>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</si>
  <si>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</si>
  <si>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</si>
  <si>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</si>
  <si>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</si>
  <si>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</si>
  <si>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</si>
  <si>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</si>
  <si>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</si>
  <si>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</si>
  <si>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</si>
  <si>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</si>
  <si>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</si>
  <si>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</si>
  <si>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</si>
  <si>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</si>
  <si>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</si>
  <si>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</si>
  <si>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</si>
  <si>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</si>
  <si>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</si>
  <si>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</si>
  <si>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</si>
  <si>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</si>
  <si>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</si>
  <si>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</si>
  <si>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</si>
  <si>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</si>
  <si>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</si>
  <si>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</si>
  <si>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</si>
  <si>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</si>
  <si>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</si>
  <si>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</si>
  <si>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</si>
  <si>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</si>
  <si>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</si>
  <si>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</si>
  <si>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</si>
  <si>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</si>
  <si>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</si>
  <si>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</si>
  <si>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</si>
  <si>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</si>
  <si>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</si>
  <si>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</si>
  <si>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</si>
  <si>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</si>
  <si>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</si>
  <si>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</si>
  <si>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</si>
  <si>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</si>
  <si>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</si>
  <si>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</si>
  <si>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</si>
  <si>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</si>
  <si>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</si>
  <si>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</si>
  <si>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</si>
  <si>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</si>
  <si>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</si>
  <si>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</si>
  <si>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</si>
  <si>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</si>
  <si>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</si>
  <si>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</si>
  <si>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</si>
  <si>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</si>
  <si>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</si>
  <si>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</si>
  <si>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</si>
  <si>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</si>
  <si>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</si>
  <si>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</si>
  <si>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</si>
  <si>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</si>
  <si>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</si>
  <si>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</si>
  <si>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</si>
  <si>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</si>
  <si>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</si>
  <si>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</si>
  <si>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</si>
  <si>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</si>
  <si>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</si>
  <si>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</si>
  <si>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</si>
  <si>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</si>
  <si>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</si>
  <si>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</si>
  <si>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</si>
  <si>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</si>
  <si>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</si>
  <si>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</si>
  <si>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</si>
  <si>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</si>
  <si>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</si>
  <si>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</si>
  <si>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</si>
  <si>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</si>
  <si>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</si>
  <si>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</si>
  <si>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</si>
  <si>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</si>
  <si>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</si>
  <si>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</si>
  <si>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</si>
  <si>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</si>
  <si>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</si>
  <si>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</si>
  <si>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</si>
  <si>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</si>
  <si>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</si>
  <si>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</si>
  <si>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</si>
  <si>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</si>
  <si>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</si>
  <si>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</si>
  <si>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</si>
  <si>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</si>
  <si>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</si>
  <si>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</si>
  <si>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</si>
  <si>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</si>
  <si>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</si>
  <si>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</si>
  <si>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</si>
  <si>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</si>
  <si>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</si>
  <si>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</si>
  <si>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</si>
  <si>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</si>
  <si>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</si>
  <si>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</si>
  <si>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</si>
  <si>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</si>
  <si>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</si>
  <si>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</si>
  <si>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</si>
  <si>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</si>
  <si>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</si>
  <si>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</si>
  <si>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</si>
  <si>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</si>
  <si>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</si>
  <si>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</si>
  <si>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</si>
  <si>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</si>
  <si>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</si>
  <si>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</si>
  <si>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</si>
  <si>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</si>
  <si>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</si>
  <si>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</si>
  <si>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</si>
  <si>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</si>
  <si>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</si>
  <si>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</si>
  <si>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</si>
  <si>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</si>
  <si>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</si>
  <si>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</si>
  <si>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</si>
  <si>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</si>
  <si>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</si>
  <si>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</si>
  <si>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</si>
  <si>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</si>
  <si>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</si>
  <si>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</si>
  <si>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</si>
  <si>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</si>
  <si>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</si>
  <si>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</si>
  <si>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</si>
  <si>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</si>
  <si>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</si>
  <si>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</si>
  <si>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</si>
  <si>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</si>
  <si>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</si>
  <si>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</si>
  <si>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</si>
  <si>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</si>
  <si>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</si>
  <si>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</si>
  <si>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</si>
  <si>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</si>
  <si>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</si>
  <si>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</si>
  <si>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</si>
  <si>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</si>
  <si>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</si>
  <si>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</si>
  <si>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</si>
  <si>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</si>
  <si>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</si>
  <si>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</si>
  <si>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</si>
  <si>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</si>
  <si>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</si>
  <si>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</si>
  <si>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</si>
  <si>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</si>
  <si>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</si>
  <si>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</si>
  <si>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</si>
  <si>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</si>
  <si>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</si>
  <si>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</si>
  <si>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</si>
  <si>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</si>
  <si>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</si>
  <si>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</si>
  <si>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</si>
  <si>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</si>
  <si>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</si>
  <si>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</si>
  <si>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</si>
  <si>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</si>
  <si>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</si>
  <si>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</si>
  <si>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</si>
  <si>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</si>
  <si>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</si>
  <si>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</si>
  <si>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</si>
  <si>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</si>
  <si>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</si>
  <si>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</si>
  <si>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</si>
  <si>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</si>
  <si>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</si>
  <si>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</si>
  <si>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</si>
  <si>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</si>
  <si>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</si>
  <si>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</si>
  <si>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</si>
  <si>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</si>
  <si>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</si>
  <si>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</si>
  <si>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</si>
  <si>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</si>
  <si>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</si>
  <si>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</si>
  <si>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</si>
  <si>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</si>
  <si>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</si>
  <si>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</si>
  <si>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</si>
  <si>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</si>
  <si>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</si>
  <si>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</si>
  <si>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</si>
  <si>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</si>
  <si>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</si>
  <si>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</si>
  <si>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</si>
  <si>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</si>
  <si>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</si>
  <si>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</si>
  <si>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</si>
  <si>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</si>
  <si>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</si>
  <si>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</si>
  <si>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</si>
  <si>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</si>
  <si>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</si>
  <si>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</si>
  <si>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</si>
  <si>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</si>
  <si>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</si>
  <si>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</si>
  <si>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</si>
  <si>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</si>
  <si>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</si>
  <si>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</si>
  <si>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</si>
  <si>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</si>
  <si>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</si>
  <si>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</si>
  <si>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</si>
  <si>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</si>
  <si>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</si>
  <si>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</si>
  <si>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</si>
  <si>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</si>
  <si>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</si>
  <si>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</si>
  <si>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</si>
  <si>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</si>
  <si>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</si>
  <si>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</si>
  <si>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</si>
  <si>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</si>
  <si>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</si>
  <si>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</si>
  <si>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</si>
  <si>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</si>
  <si>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</si>
  <si>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</si>
  <si>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</si>
  <si>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</si>
  <si>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</si>
  <si>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</si>
  <si>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</si>
  <si>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</si>
  <si>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</si>
  <si>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</si>
  <si>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</si>
  <si>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</si>
  <si>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</si>
  <si>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</si>
  <si>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</si>
  <si>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</si>
  <si>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</si>
  <si>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</si>
  <si>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</si>
  <si>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</si>
  <si>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</si>
  <si>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</si>
  <si>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</si>
  <si>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</si>
  <si>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</si>
  <si>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</si>
  <si>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</si>
  <si>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</si>
  <si>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</si>
  <si>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</si>
  <si>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</si>
  <si>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</si>
  <si>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</si>
  <si>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</si>
  <si>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</si>
  <si>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</si>
  <si>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</si>
  <si>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</si>
  <si>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</si>
  <si>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</si>
  <si>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</si>
  <si>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</si>
  <si>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</si>
  <si>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</si>
  <si>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</si>
  <si>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</si>
  <si>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</si>
  <si>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</si>
  <si>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</si>
  <si>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</si>
  <si>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</si>
  <si>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</si>
  <si>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</si>
  <si>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</si>
  <si>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</si>
  <si>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</si>
  <si>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</si>
  <si>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</si>
  <si>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</si>
  <si>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</si>
  <si>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</si>
  <si>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</si>
  <si>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</si>
  <si>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</si>
  <si>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</si>
  <si>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</si>
  <si>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</si>
  <si>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</si>
  <si>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</si>
  <si>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</si>
  <si>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</si>
  <si>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</si>
  <si>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</si>
  <si>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</si>
  <si>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</si>
  <si>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</si>
  <si>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</si>
  <si>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</si>
  <si>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</si>
  <si>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</si>
  <si>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</si>
  <si>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</si>
  <si>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</si>
  <si>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</si>
  <si>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</si>
  <si>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</si>
  <si>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</si>
  <si>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</si>
  <si>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</si>
  <si>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</si>
  <si>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</si>
  <si>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</si>
  <si>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</si>
  <si>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</si>
  <si>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</si>
  <si>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</si>
  <si>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</si>
  <si>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</si>
  <si>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</si>
  <si>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</si>
  <si>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</si>
  <si>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</si>
  <si>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</si>
  <si>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</si>
  <si>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</si>
  <si>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</si>
  <si>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</si>
  <si>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</si>
  <si>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</si>
  <si>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</si>
  <si>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</si>
  <si>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</si>
  <si>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</si>
  <si>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</si>
  <si>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</si>
  <si>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</si>
  <si>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</si>
  <si>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</si>
  <si>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</si>
  <si>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</si>
  <si>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</si>
  <si>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</si>
  <si>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</si>
  <si>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</si>
  <si>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</si>
  <si>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</si>
  <si>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</si>
  <si>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</si>
  <si>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</si>
  <si>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</si>
  <si>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</si>
  <si>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</si>
  <si>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</si>
  <si>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</si>
  <si>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</si>
  <si>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</si>
  <si>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</si>
  <si>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</si>
  <si>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</si>
  <si>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</si>
  <si>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</si>
  <si>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</si>
  <si>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</si>
  <si>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</si>
  <si>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</si>
  <si>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</si>
  <si>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</si>
  <si>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</si>
  <si>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</si>
  <si>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</si>
  <si>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</si>
  <si>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</si>
  <si>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</si>
  <si>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</si>
  <si>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</si>
  <si>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</si>
  <si>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</si>
  <si>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</si>
  <si>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</si>
  <si>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</si>
  <si>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</si>
  <si>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</si>
  <si>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</si>
  <si>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</si>
  <si>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</si>
  <si>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</si>
  <si>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</si>
  <si>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</si>
  <si>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</si>
  <si>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</si>
  <si>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</si>
  <si>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</si>
  <si>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</si>
  <si>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</si>
  <si>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</si>
  <si>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</si>
  <si>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</si>
  <si>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</si>
  <si>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</si>
  <si>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</si>
  <si>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</si>
  <si>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</si>
  <si>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</si>
  <si>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</si>
  <si>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</si>
  <si>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</si>
  <si>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</si>
  <si>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</si>
  <si>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</si>
  <si>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</si>
  <si>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</si>
  <si>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</si>
  <si>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</si>
  <si>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</si>
  <si>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</si>
  <si>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</si>
  <si>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</si>
  <si>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</si>
  <si>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</si>
  <si>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</si>
  <si>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</si>
  <si>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</si>
  <si>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</si>
  <si>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</si>
  <si>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</si>
  <si>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</si>
  <si>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</si>
  <si>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</si>
  <si>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</si>
  <si>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</si>
  <si>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</si>
  <si>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</si>
  <si>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</si>
  <si>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</si>
  <si>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</si>
  <si>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</si>
  <si>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</si>
  <si>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</si>
  <si>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</si>
  <si>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</si>
  <si>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</si>
  <si>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</si>
  <si>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</si>
  <si>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</si>
  <si>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</si>
  <si>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</si>
  <si>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</si>
  <si>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</si>
  <si>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</si>
  <si>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</si>
  <si>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</si>
  <si>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</si>
  <si>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</si>
  <si>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</si>
  <si>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</si>
  <si>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</si>
  <si>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</si>
  <si>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</si>
  <si>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</si>
  <si>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</si>
  <si>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</si>
  <si>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</si>
  <si>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</si>
  <si>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</si>
  <si>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</si>
  <si>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</si>
  <si>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</si>
  <si>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</si>
  <si>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</si>
  <si>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</si>
  <si>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</si>
  <si>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</si>
  <si>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</si>
  <si>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</si>
  <si>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</si>
  <si>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</si>
  <si>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</si>
  <si>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</si>
  <si>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</si>
  <si>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</si>
  <si>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</si>
  <si>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</si>
  <si>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</si>
  <si>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</si>
  <si>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</si>
  <si>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</si>
  <si>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</si>
  <si>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</si>
  <si>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</si>
  <si>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</si>
  <si>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</si>
  <si>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</si>
  <si>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</si>
  <si>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</si>
  <si>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</si>
  <si>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</si>
  <si>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</si>
  <si>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</si>
  <si>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</si>
  <si>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</si>
  <si>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</si>
  <si>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</si>
  <si>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</si>
  <si>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</si>
  <si>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</si>
  <si>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</si>
  <si>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</si>
  <si>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</si>
  <si>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</si>
  <si>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</si>
  <si>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</si>
  <si>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</si>
  <si>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</si>
  <si>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</si>
  <si>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</si>
  <si>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</si>
  <si>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</si>
  <si>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</si>
  <si>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</si>
  <si>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</si>
  <si>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</si>
  <si>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</si>
  <si>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</si>
  <si>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</si>
  <si>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</si>
  <si>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</si>
  <si>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</si>
  <si>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</si>
  <si>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</si>
  <si>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</si>
  <si>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</si>
  <si>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</si>
  <si>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</si>
  <si>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</si>
  <si>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</si>
  <si>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</si>
  <si>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</si>
  <si>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</si>
  <si>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</si>
  <si>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</si>
  <si>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</si>
  <si>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</si>
  <si>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</si>
  <si>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</si>
  <si>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</si>
  <si>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</si>
  <si>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</si>
  <si>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</si>
  <si>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</si>
  <si>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</si>
  <si>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</si>
  <si>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</si>
  <si>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</si>
  <si>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</si>
  <si>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</si>
  <si>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</si>
  <si>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</si>
  <si>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</si>
  <si>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</si>
  <si>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</si>
  <si>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</si>
  <si>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</si>
  <si>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</si>
  <si>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</si>
  <si>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</si>
  <si>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</si>
  <si>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</si>
  <si>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</si>
  <si>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</si>
  <si>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</si>
  <si>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</si>
  <si>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</si>
  <si>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</si>
  <si>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</si>
  <si>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</si>
  <si>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</si>
  <si>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</si>
  <si>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</si>
  <si>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</si>
  <si>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</si>
  <si>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</si>
  <si>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</si>
  <si>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</si>
  <si>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</si>
  <si>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</si>
  <si>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</si>
  <si>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</si>
  <si>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</si>
  <si>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</si>
  <si>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</si>
  <si>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</si>
  <si>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</si>
  <si>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</si>
  <si>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</si>
  <si>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</si>
  <si>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</si>
  <si>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</si>
  <si>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</si>
  <si>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</si>
  <si>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</si>
  <si>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</si>
  <si>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</si>
  <si>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</si>
  <si>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</si>
  <si>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</si>
  <si>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</si>
  <si>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</si>
  <si>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</si>
  <si>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</si>
  <si>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</si>
  <si>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</si>
  <si>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</si>
  <si>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</si>
  <si>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</si>
  <si>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</si>
  <si>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</si>
  <si>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</si>
  <si>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</si>
  <si>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</si>
  <si>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</si>
  <si>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</si>
  <si>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</si>
  <si>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</si>
  <si>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</si>
  <si>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</si>
  <si>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</si>
  <si>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</si>
  <si>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</si>
  <si>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</si>
  <si>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</si>
  <si>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</si>
  <si>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</si>
  <si>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</si>
  <si>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</si>
  <si>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</si>
  <si>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</si>
  <si>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</si>
  <si>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</si>
  <si>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</si>
  <si>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</si>
  <si>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</si>
  <si>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</si>
  <si>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</si>
  <si>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</si>
  <si>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</si>
  <si>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</si>
  <si>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</si>
  <si>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</si>
  <si>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</si>
  <si>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</si>
  <si>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</si>
  <si>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</si>
  <si>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</si>
  <si>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</si>
  <si>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</si>
  <si>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</si>
  <si>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</si>
  <si>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</si>
  <si>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</si>
  <si>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</si>
  <si>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</si>
  <si>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</si>
  <si>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</si>
  <si>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</si>
  <si>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</si>
  <si>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</si>
  <si>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</si>
  <si>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</si>
  <si>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</si>
  <si>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</si>
  <si>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</si>
  <si>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</si>
  <si>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</si>
  <si>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</si>
  <si>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</si>
  <si>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</si>
  <si>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</si>
  <si>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</si>
  <si>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</si>
  <si>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</si>
  <si>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</si>
  <si>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</si>
  <si>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</si>
  <si>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</si>
  <si>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</si>
  <si>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</si>
  <si>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</si>
  <si>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</si>
  <si>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</si>
  <si>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</si>
  <si>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</si>
  <si>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</si>
  <si>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</si>
  <si>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</si>
  <si>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</si>
  <si>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</si>
  <si>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</si>
  <si>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</si>
  <si>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</si>
  <si>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</si>
  <si>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</si>
  <si>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</si>
  <si>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</si>
  <si>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</si>
  <si>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</si>
  <si>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</si>
  <si>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</si>
  <si>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</si>
  <si>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</si>
  <si>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</si>
  <si>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</si>
  <si>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</si>
  <si>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</si>
  <si>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</si>
  <si>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</si>
  <si>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</si>
  <si>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</si>
  <si>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</si>
  <si>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</si>
  <si>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</si>
  <si>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</si>
  <si>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</si>
  <si>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</si>
  <si>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</si>
  <si>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</si>
  <si>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</si>
  <si>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</si>
  <si>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</si>
  <si>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</si>
  <si>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</si>
  <si>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</si>
  <si>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</si>
  <si>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</si>
  <si>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</si>
  <si>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</si>
  <si>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</si>
  <si>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</si>
  <si>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</si>
  <si>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</si>
  <si>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</si>
  <si>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</si>
  <si>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</si>
  <si>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</si>
  <si>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</si>
  <si>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</si>
  <si>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</si>
  <si>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</si>
  <si>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</si>
  <si>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</si>
  <si>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</si>
  <si>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</si>
  <si>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</si>
  <si>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</si>
  <si>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</si>
  <si>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</si>
  <si>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</si>
  <si>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</si>
  <si>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</si>
  <si>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</si>
  <si>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</si>
  <si>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</si>
  <si>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</si>
  <si>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</si>
  <si>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</si>
  <si>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</si>
  <si>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</si>
  <si>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</si>
  <si>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</si>
  <si>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</si>
  <si>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</si>
  <si>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</si>
  <si>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</si>
  <si>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</si>
  <si>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</si>
  <si>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</si>
  <si>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</si>
  <si>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</si>
  <si>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</si>
  <si>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</si>
  <si>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</si>
  <si>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</si>
  <si>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</si>
  <si>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</si>
  <si>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</si>
  <si>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</si>
  <si>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</si>
  <si>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</si>
  <si>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</si>
  <si>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</si>
  <si>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</si>
  <si>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</si>
  <si>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</si>
  <si>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</si>
  <si>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</si>
  <si>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</si>
  <si>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</si>
  <si>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</si>
  <si>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</si>
  <si>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</si>
  <si>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</si>
  <si>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</si>
  <si>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</si>
  <si>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</si>
  <si>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</si>
  <si>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</si>
  <si>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</si>
  <si>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</si>
  <si>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</si>
  <si>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</si>
  <si>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</si>
  <si>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</si>
  <si>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</si>
  <si>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</si>
  <si>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</si>
  <si>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</si>
  <si>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</si>
  <si>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</si>
  <si>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</si>
  <si>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</si>
  <si>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</si>
  <si>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</si>
  <si>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</si>
  <si>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</si>
  <si>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</si>
  <si>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</si>
  <si>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</si>
  <si>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</si>
  <si>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</si>
  <si>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</si>
  <si>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</si>
  <si>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</si>
  <si>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</si>
  <si>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</si>
  <si>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</si>
  <si>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</si>
  <si>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</si>
  <si>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</si>
  <si>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</si>
  <si>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</si>
  <si>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</si>
  <si>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</si>
  <si>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</si>
  <si>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</si>
  <si>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</si>
  <si>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</si>
  <si>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</si>
  <si>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</si>
  <si>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</si>
  <si>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</si>
  <si>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</si>
  <si>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</si>
  <si>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</si>
  <si>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</si>
  <si>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</si>
  <si>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</si>
  <si>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</si>
  <si>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</si>
  <si>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</si>
  <si>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</si>
  <si>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</si>
  <si>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</si>
  <si>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</si>
  <si>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</si>
  <si>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</si>
  <si>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</si>
  <si>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</si>
  <si>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</si>
  <si>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</si>
  <si>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</si>
  <si>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</si>
  <si>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</si>
  <si>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</si>
  <si>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</si>
  <si>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</si>
  <si>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</si>
  <si>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</si>
  <si>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</si>
  <si>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</si>
  <si>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</si>
  <si>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</si>
  <si>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</si>
  <si>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</si>
  <si>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</si>
  <si>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</si>
  <si>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</si>
  <si>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</si>
  <si>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</si>
  <si>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</si>
  <si>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</si>
  <si>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</si>
  <si>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</si>
  <si>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</si>
  <si>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</si>
  <si>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</si>
  <si>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</si>
  <si>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</si>
  <si>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</si>
  <si>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</si>
  <si>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</si>
  <si>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</si>
  <si>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</si>
  <si>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</si>
  <si>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</si>
  <si>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</si>
  <si>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</si>
  <si>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</si>
  <si>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</si>
  <si>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</si>
  <si>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</si>
  <si>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</si>
  <si>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</si>
  <si>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</si>
  <si>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</si>
  <si>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</si>
  <si>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</si>
  <si>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</si>
  <si>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</si>
  <si>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</si>
  <si>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</si>
  <si>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</si>
  <si>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</si>
  <si>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</si>
  <si>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</si>
  <si>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</si>
  <si>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</si>
  <si>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</si>
  <si>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</si>
  <si>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</si>
  <si>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</si>
  <si>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</si>
  <si>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</si>
  <si>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</si>
  <si>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</si>
  <si>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</si>
  <si>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</si>
  <si>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</si>
  <si>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</si>
  <si>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</si>
  <si>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</si>
  <si>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</si>
  <si>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</si>
  <si>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</si>
  <si>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</si>
  <si>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</si>
  <si>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</si>
  <si>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</si>
  <si>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</si>
  <si>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</si>
  <si>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</si>
  <si>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</si>
  <si>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</si>
  <si>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</si>
  <si>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</si>
  <si>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</si>
  <si>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</si>
  <si>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</si>
  <si>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</si>
  <si>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</si>
  <si>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</si>
  <si>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</si>
  <si>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</si>
  <si>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</si>
  <si>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</si>
  <si>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</si>
  <si>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</si>
  <si>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</si>
  <si>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</si>
  <si>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</si>
  <si>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</si>
  <si>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</si>
  <si>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</si>
  <si>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</si>
  <si>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</si>
  <si>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</si>
  <si>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</si>
  <si>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</si>
  <si>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</si>
  <si>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</si>
  <si>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</si>
  <si>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</si>
  <si>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</si>
  <si>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</si>
  <si>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</si>
  <si>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</si>
  <si>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</si>
  <si>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</si>
  <si>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</si>
  <si>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</si>
  <si>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</si>
  <si>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</si>
  <si>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</si>
  <si>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</si>
  <si>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</si>
  <si>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</si>
  <si>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</si>
  <si>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</si>
  <si>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</si>
  <si>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</si>
  <si>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</si>
  <si>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</si>
  <si>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</si>
  <si>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</si>
  <si>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</si>
  <si>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</si>
  <si>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</si>
  <si>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</si>
  <si>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</si>
  <si>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</si>
  <si>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</si>
  <si>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</si>
  <si>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</si>
  <si>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</si>
  <si>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</si>
  <si>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</si>
  <si>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</si>
  <si>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</si>
  <si>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</si>
  <si>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</si>
  <si>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</si>
  <si>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</si>
  <si>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</si>
  <si>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</si>
  <si>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</si>
  <si>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</si>
  <si>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</si>
  <si>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</si>
  <si>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</si>
  <si>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</si>
  <si>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</si>
  <si>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</si>
  <si>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</si>
  <si>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</si>
  <si>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</si>
  <si>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</si>
  <si>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</si>
  <si>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</si>
  <si>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</si>
  <si>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</si>
  <si>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</si>
  <si>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</si>
  <si>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</si>
  <si>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</si>
  <si>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</si>
  <si>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</si>
  <si>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</si>
  <si>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</si>
  <si>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</si>
  <si>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</si>
  <si>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</si>
  <si>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</si>
  <si>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</si>
  <si>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</si>
  <si>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</si>
  <si>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</si>
  <si>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</si>
  <si>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</si>
  <si>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</si>
  <si>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</si>
  <si>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</si>
  <si>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</si>
  <si>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</si>
  <si>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</si>
  <si>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</si>
  <si>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</si>
  <si>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</si>
  <si>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</si>
  <si>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</si>
  <si>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</si>
  <si>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</si>
  <si>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</si>
  <si>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</si>
  <si>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</si>
  <si>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</si>
  <si>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</si>
  <si>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</si>
  <si>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</si>
  <si>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</si>
  <si>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</si>
  <si>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</si>
  <si>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</si>
  <si>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</si>
  <si>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</si>
  <si>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</si>
  <si>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</si>
  <si>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</si>
  <si>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</si>
  <si>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</si>
  <si>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</si>
  <si>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</si>
  <si>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</si>
  <si>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</si>
  <si>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</si>
  <si>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</si>
  <si>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</si>
  <si>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</si>
  <si>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</si>
  <si>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</si>
  <si>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</si>
  <si>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</si>
  <si>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</si>
  <si>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</si>
  <si>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</si>
  <si>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</si>
  <si>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</si>
  <si>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</si>
  <si>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</si>
  <si>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</si>
  <si>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</si>
  <si>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</si>
  <si>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</si>
  <si>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</si>
  <si>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</si>
  <si>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</si>
  <si>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</si>
  <si>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</si>
  <si>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</si>
  <si>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</si>
  <si>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</si>
  <si>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</si>
  <si>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</si>
  <si>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</si>
  <si>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</si>
  <si>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</si>
  <si>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</si>
  <si>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</si>
  <si>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</si>
  <si>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</si>
  <si>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</si>
  <si>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</si>
  <si>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</si>
  <si>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</si>
  <si>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</si>
  <si>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</si>
  <si>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</si>
  <si>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</si>
  <si>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</si>
  <si>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</si>
  <si>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</si>
  <si>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</si>
  <si>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</si>
  <si>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</si>
  <si>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</si>
  <si>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</si>
  <si>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</si>
  <si>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</si>
  <si>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</si>
  <si>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</si>
  <si>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</si>
  <si>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</si>
  <si>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</si>
  <si>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</si>
  <si>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</si>
  <si>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</si>
  <si>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</si>
  <si>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</si>
  <si>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</si>
  <si>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</si>
  <si>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</si>
  <si>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</si>
  <si>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</si>
  <si>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</si>
  <si>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</si>
  <si>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</si>
  <si>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</si>
  <si>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</si>
  <si>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</si>
  <si>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</si>
  <si>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</si>
  <si>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</si>
  <si>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</si>
  <si>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</si>
  <si>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</si>
  <si>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</si>
  <si>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</si>
  <si>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</si>
  <si>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</si>
  <si>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</si>
  <si>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</si>
  <si>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</si>
  <si>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</si>
  <si>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</si>
  <si>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</si>
  <si>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</si>
  <si>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</si>
  <si>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</si>
  <si>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</si>
  <si>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</si>
  <si>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</si>
  <si>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</si>
  <si>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</si>
  <si>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</si>
  <si>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</si>
  <si>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</si>
  <si>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</si>
  <si>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</si>
  <si>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</si>
  <si>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</si>
  <si>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</si>
  <si>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</si>
  <si>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</si>
  <si>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</si>
  <si>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</si>
  <si>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</si>
  <si>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</si>
  <si>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</si>
  <si>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</si>
  <si>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</si>
  <si>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</si>
  <si>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</si>
  <si>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</si>
  <si>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</si>
  <si>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</si>
  <si>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</si>
  <si>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</si>
  <si>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</si>
  <si>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</si>
  <si>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</si>
  <si>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</si>
  <si>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</si>
  <si>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</si>
  <si>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</si>
  <si>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</si>
  <si>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</si>
  <si>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</si>
  <si>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</si>
  <si>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</si>
  <si>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</si>
  <si>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</si>
  <si>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</si>
  <si>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</si>
  <si>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</si>
  <si>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</si>
  <si>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</si>
  <si>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</si>
  <si>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</si>
  <si>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</si>
  <si>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</si>
  <si>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</si>
  <si>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</si>
  <si>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</si>
  <si>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</si>
  <si>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</si>
  <si>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</si>
  <si>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</si>
  <si>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</si>
  <si>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</si>
  <si>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</si>
  <si>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</si>
  <si>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</si>
  <si>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</si>
  <si>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</si>
  <si>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</si>
  <si>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</si>
  <si>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</si>
  <si>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</si>
  <si>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</si>
  <si>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</si>
  <si>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</si>
  <si>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</si>
  <si>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</si>
  <si>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</si>
  <si>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</si>
  <si>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</si>
  <si>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</si>
  <si>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</si>
  <si>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</si>
  <si>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</si>
  <si>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</si>
  <si>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</si>
  <si>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</si>
  <si>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</si>
  <si>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</si>
  <si>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</si>
  <si>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</si>
  <si>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</si>
  <si>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</si>
  <si>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</si>
  <si>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</si>
  <si>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</si>
  <si>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</si>
  <si>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</si>
  <si>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</si>
  <si>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</si>
  <si>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</si>
  <si>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</si>
  <si>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</si>
  <si>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</si>
  <si>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</si>
  <si>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</si>
  <si>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</si>
  <si>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</si>
  <si>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</si>
  <si>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</si>
  <si>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</si>
  <si>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</si>
  <si>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</si>
  <si>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</si>
  <si>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</si>
  <si>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</si>
  <si>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</si>
  <si>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</si>
  <si>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</si>
  <si>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</si>
  <si>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</si>
  <si>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</si>
  <si>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</si>
  <si>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</si>
  <si>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</si>
  <si>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</si>
  <si>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</si>
  <si>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</si>
  <si>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</si>
  <si>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</si>
  <si>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</si>
  <si>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</si>
  <si>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</si>
  <si>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</si>
  <si>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</si>
  <si>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</si>
  <si>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</si>
  <si>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</si>
  <si>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</si>
  <si>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</si>
  <si>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</si>
  <si>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</si>
  <si>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</si>
  <si>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</si>
  <si>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</si>
  <si>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</si>
  <si>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</si>
  <si>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</si>
  <si>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</si>
  <si>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</si>
  <si>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</si>
  <si>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</si>
  <si>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</si>
  <si>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</si>
  <si>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</si>
  <si>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</si>
  <si>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</si>
  <si>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</si>
  <si>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</si>
  <si>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</si>
  <si>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</si>
  <si>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</si>
  <si>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</si>
  <si>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</si>
  <si>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</si>
  <si>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</si>
  <si>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</si>
  <si>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</si>
  <si>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</si>
  <si>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</si>
  <si>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</si>
  <si>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</si>
  <si>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</si>
  <si>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</si>
  <si>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</si>
  <si>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</si>
  <si>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</si>
  <si>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</si>
  <si>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</si>
  <si>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</si>
  <si>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</si>
  <si>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</si>
  <si>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</si>
  <si>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</si>
  <si>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</si>
  <si>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</si>
  <si>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</si>
  <si>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</si>
  <si>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</si>
  <si>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</si>
  <si>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</si>
  <si>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</si>
  <si>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</si>
  <si>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</si>
  <si>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</si>
  <si>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</si>
  <si>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</si>
  <si>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</si>
  <si>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</si>
  <si>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</si>
  <si>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</si>
  <si>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</si>
  <si>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</si>
  <si>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</si>
  <si>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</si>
  <si>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</si>
  <si>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</si>
  <si>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</si>
  <si>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</si>
  <si>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</si>
  <si>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</si>
  <si>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</si>
  <si>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</si>
  <si>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</si>
  <si>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</si>
  <si>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</si>
  <si>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</si>
  <si>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</si>
  <si>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</si>
  <si>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</si>
  <si>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</si>
  <si>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</si>
  <si>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</si>
  <si>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</si>
  <si>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</si>
  <si>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</si>
  <si>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</si>
  <si>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</si>
  <si>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</si>
  <si>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</si>
  <si>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</si>
  <si>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</si>
  <si>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</si>
  <si>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</si>
  <si>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</si>
  <si>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</si>
  <si>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</si>
  <si>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</si>
  <si>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</si>
  <si>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</si>
  <si>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</si>
  <si>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</si>
  <si>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</si>
  <si>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</si>
  <si>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</si>
  <si>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</si>
  <si>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</si>
  <si>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</si>
  <si>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</si>
  <si>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</si>
  <si>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</si>
  <si>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</si>
  <si>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</si>
  <si>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</si>
  <si>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</si>
  <si>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</si>
  <si>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</si>
  <si>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</si>
  <si>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</si>
  <si>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</si>
  <si>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</si>
  <si>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</si>
  <si>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</si>
  <si>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</si>
  <si>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</si>
  <si>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</si>
  <si>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</si>
  <si>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</si>
  <si>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</si>
  <si>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</si>
  <si>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</si>
  <si>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</si>
  <si>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</si>
  <si>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</si>
  <si>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</si>
  <si>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</si>
  <si>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</si>
  <si>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</si>
  <si>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</si>
  <si>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</si>
  <si>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</si>
  <si>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</si>
  <si>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</si>
  <si>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</si>
  <si>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</si>
  <si>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</si>
  <si>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</si>
  <si>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</si>
  <si>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</si>
  <si>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</si>
  <si>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</si>
  <si>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</si>
  <si>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</si>
  <si>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</si>
  <si>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</si>
  <si>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</si>
  <si>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</si>
  <si>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</si>
  <si>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</si>
  <si>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</si>
  <si>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</si>
  <si>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</si>
  <si>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</si>
  <si>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</si>
  <si>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</si>
  <si>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</si>
  <si>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</si>
  <si>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</si>
  <si>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</si>
  <si>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</si>
  <si>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</si>
  <si>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</si>
  <si>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</si>
  <si>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</si>
  <si>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</si>
  <si>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</si>
  <si>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</si>
  <si>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</si>
  <si>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</si>
  <si>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</si>
  <si>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</si>
  <si>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</si>
  <si>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</si>
  <si>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</si>
  <si>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</si>
  <si>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</si>
  <si>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</si>
  <si>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</si>
  <si>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</si>
  <si>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</si>
  <si>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</si>
  <si>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</si>
  <si>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</si>
  <si>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</si>
  <si>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</si>
  <si>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</si>
  <si>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</si>
  <si>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</si>
  <si>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</si>
  <si>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</si>
  <si>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</si>
  <si>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</si>
  <si>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</si>
  <si>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</si>
  <si>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</si>
  <si>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</si>
  <si>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</si>
  <si>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</si>
  <si>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</si>
  <si>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</si>
  <si>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</si>
  <si>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</si>
  <si>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</si>
  <si>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</si>
  <si>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</si>
  <si>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</si>
  <si>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</si>
  <si>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</si>
  <si>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</si>
  <si>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</si>
  <si>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</si>
  <si>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</si>
  <si>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</si>
  <si>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</si>
  <si>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</si>
  <si>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</si>
  <si>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</si>
  <si>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</si>
  <si>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</si>
  <si>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</si>
  <si>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</si>
  <si>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</si>
  <si>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</si>
  <si>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</si>
  <si>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</si>
  <si>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</si>
  <si>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</si>
  <si>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</si>
  <si>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</si>
  <si>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</si>
  <si>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</si>
  <si>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</si>
  <si>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</si>
  <si>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</si>
  <si>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</si>
  <si>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</si>
  <si>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</si>
  <si>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</si>
  <si>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</si>
  <si>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</si>
  <si>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</si>
  <si>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</si>
  <si>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</si>
  <si>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</si>
  <si>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</si>
  <si>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</si>
  <si>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</si>
  <si>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</si>
  <si>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</si>
  <si>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</si>
  <si>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</si>
  <si>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</si>
  <si>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</si>
  <si>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</si>
  <si>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</si>
  <si>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</si>
  <si>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</si>
  <si>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</si>
  <si>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</si>
  <si>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</si>
  <si>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</si>
  <si>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</si>
  <si>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</si>
  <si>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</si>
  <si>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</si>
  <si>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</si>
  <si>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</si>
  <si>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</si>
  <si>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</si>
  <si>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</si>
  <si>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</si>
  <si>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</si>
  <si>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</si>
  <si>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</si>
  <si>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</si>
  <si>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</si>
  <si>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</si>
  <si>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</si>
  <si>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</si>
  <si>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</si>
  <si>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</si>
  <si>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</si>
  <si>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</si>
  <si>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</si>
  <si>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</si>
  <si>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</si>
  <si>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</si>
  <si>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</si>
  <si>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</si>
  <si>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</si>
  <si>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</si>
  <si>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</si>
  <si>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</si>
  <si>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</si>
  <si>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</si>
  <si>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</si>
  <si>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</si>
  <si>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</si>
  <si>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</si>
  <si>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</si>
  <si>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</si>
  <si>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</si>
  <si>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</si>
  <si>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</si>
  <si>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</si>
  <si>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</si>
  <si>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</si>
  <si>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</si>
  <si>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</si>
  <si>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</si>
  <si>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</si>
  <si>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</si>
  <si>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</si>
  <si>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</si>
  <si>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</si>
  <si>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</si>
  <si>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</si>
  <si>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</si>
  <si>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</si>
  <si>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</si>
  <si>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</si>
  <si>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</si>
  <si>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</si>
  <si>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</si>
  <si>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</si>
  <si>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</si>
  <si>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</si>
  <si>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</si>
  <si>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</si>
  <si>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</si>
  <si>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</si>
  <si>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</si>
  <si>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</si>
  <si>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</si>
  <si>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</si>
  <si>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</si>
  <si>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</si>
  <si>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</si>
  <si>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</si>
  <si>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</si>
  <si>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</si>
  <si>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</si>
  <si>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</si>
  <si>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</si>
  <si>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</si>
  <si>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</si>
  <si>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</si>
  <si>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</si>
  <si>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</si>
  <si>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</si>
  <si>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</si>
  <si>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</si>
  <si>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</si>
  <si>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</si>
  <si>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</si>
  <si>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</si>
  <si>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</si>
  <si>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</si>
  <si>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</si>
  <si>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</si>
  <si>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</si>
  <si>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</si>
  <si>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</si>
  <si>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</si>
  <si>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</si>
  <si>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</si>
  <si>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</si>
  <si>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</si>
  <si>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</si>
  <si>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</si>
  <si>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</si>
  <si>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</si>
  <si>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</si>
  <si>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</si>
  <si>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</si>
  <si>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</si>
  <si>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</si>
  <si>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</si>
  <si>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</si>
  <si>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</si>
  <si>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</si>
  <si>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</si>
  <si>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</si>
  <si>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</si>
  <si>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</si>
  <si>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</si>
  <si>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</si>
  <si>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</si>
  <si>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</si>
  <si>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</si>
  <si>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</si>
  <si>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</si>
  <si>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</si>
  <si>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</si>
  <si>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</si>
  <si>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</si>
  <si>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</si>
  <si>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</si>
  <si>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</si>
  <si>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</si>
  <si>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</si>
  <si>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</si>
  <si>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</si>
  <si>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</si>
  <si>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</si>
  <si>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</si>
  <si>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</si>
  <si>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</si>
  <si>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</si>
  <si>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</si>
  <si>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</si>
  <si>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</si>
  <si>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</si>
  <si>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</si>
  <si>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</si>
  <si>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</si>
  <si>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</si>
  <si>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</si>
  <si>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</si>
  <si>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</si>
  <si>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</si>
  <si>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</si>
  <si>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</si>
  <si>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</si>
  <si>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</si>
  <si>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</si>
  <si>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</si>
  <si>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</si>
  <si>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</si>
  <si>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</si>
  <si>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</si>
  <si>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</si>
  <si>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</si>
  <si>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</si>
  <si>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</si>
  <si>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</si>
  <si>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</si>
  <si>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</si>
  <si>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</si>
  <si>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</si>
  <si>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</si>
  <si>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</si>
  <si>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</si>
  <si>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</si>
  <si>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</si>
  <si>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</si>
  <si>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</si>
  <si>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</si>
  <si>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</si>
  <si>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</si>
  <si>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</si>
  <si>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</si>
  <si>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</si>
  <si>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</si>
  <si>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</si>
  <si>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</si>
  <si>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</si>
  <si>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</si>
  <si>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</si>
  <si>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</si>
  <si>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</si>
  <si>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</si>
  <si>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</si>
  <si>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</si>
  <si>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</si>
  <si>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</si>
  <si>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</si>
  <si>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</si>
  <si>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</si>
  <si>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</si>
  <si>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</si>
  <si>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</si>
  <si>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</si>
  <si>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</si>
  <si>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</si>
  <si>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</si>
  <si>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</si>
  <si>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</si>
  <si>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</si>
  <si>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</si>
  <si>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</si>
  <si>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</si>
  <si>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</si>
  <si>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</si>
  <si>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</si>
  <si>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</si>
  <si>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</si>
  <si>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</si>
  <si>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</si>
  <si>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</si>
  <si>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</si>
  <si>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</si>
  <si>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</si>
  <si>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</si>
  <si>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</si>
  <si>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</si>
  <si>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</si>
  <si>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</si>
  <si>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</si>
  <si>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</si>
  <si>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</si>
  <si>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</si>
  <si>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</si>
  <si>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</si>
  <si>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</si>
  <si>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</si>
  <si>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</si>
  <si>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</si>
  <si>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</si>
  <si>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</si>
  <si>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</si>
  <si>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</si>
  <si>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</si>
  <si>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</si>
  <si>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</si>
  <si>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</si>
  <si>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</si>
  <si>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</si>
  <si>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</si>
  <si>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</si>
  <si>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</si>
  <si>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</si>
  <si>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</si>
  <si>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</si>
  <si>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</si>
  <si>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</si>
  <si>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</si>
  <si>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</si>
  <si>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</si>
  <si>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</si>
  <si>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</si>
  <si>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</si>
  <si>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</si>
  <si>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</si>
  <si>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</si>
  <si>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</si>
  <si>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</si>
  <si>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</si>
  <si>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</si>
  <si>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</si>
  <si>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</si>
  <si>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</si>
  <si>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</si>
  <si>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</si>
  <si>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</si>
  <si>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</si>
  <si>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</si>
  <si>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</si>
  <si>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</si>
  <si>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</si>
  <si>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</si>
  <si>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</si>
  <si>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</si>
  <si>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</si>
  <si>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</si>
  <si>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</si>
  <si>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</si>
  <si>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</si>
  <si>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</si>
  <si>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</si>
  <si>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</si>
  <si>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</si>
  <si>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</si>
  <si>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</si>
  <si>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</si>
  <si>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</si>
  <si>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</si>
  <si>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</si>
  <si>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</si>
  <si>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</si>
  <si>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</si>
  <si>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</si>
  <si>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</si>
  <si>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</si>
  <si>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</si>
  <si>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</si>
  <si>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</si>
  <si>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</si>
  <si>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</si>
  <si>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</si>
  <si>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</si>
  <si>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</si>
  <si>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</si>
  <si>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</si>
  <si>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</si>
  <si>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</si>
  <si>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</si>
  <si>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</si>
  <si>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</si>
  <si>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</si>
  <si>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</si>
  <si>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</si>
  <si>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</si>
  <si>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</si>
  <si>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</si>
  <si>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</si>
  <si>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</si>
  <si>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</si>
  <si>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</si>
  <si>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</si>
  <si>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</si>
  <si>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</si>
  <si>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</si>
  <si>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</si>
  <si>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</si>
  <si>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</si>
  <si>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</si>
  <si>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</si>
  <si>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</si>
  <si>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</si>
  <si>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</si>
  <si>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</si>
  <si>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</si>
  <si>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</si>
  <si>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</si>
  <si>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</si>
  <si>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</si>
  <si>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</si>
  <si>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</si>
  <si>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</si>
  <si>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</si>
  <si>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</si>
  <si>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</si>
  <si>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</si>
  <si>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</si>
  <si>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</si>
  <si>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</si>
  <si>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</si>
  <si>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</si>
  <si>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</si>
  <si>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</si>
  <si>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</si>
  <si>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</si>
  <si>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</si>
  <si>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</si>
  <si>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</si>
  <si>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</si>
  <si>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</si>
  <si>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</si>
  <si>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</si>
  <si>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</si>
  <si>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</si>
  <si>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</si>
  <si>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</si>
  <si>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</si>
  <si>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</si>
  <si>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</si>
  <si>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</si>
  <si>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</si>
  <si>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</si>
  <si>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</si>
  <si>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</si>
  <si>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</si>
  <si>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</si>
  <si>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</si>
  <si>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</si>
  <si>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</si>
  <si>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</si>
  <si>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</si>
  <si>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</si>
  <si>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</si>
  <si>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</si>
  <si>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</si>
  <si>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</si>
  <si>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</si>
  <si>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</si>
  <si>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</si>
  <si>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</si>
  <si>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</si>
  <si>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</si>
  <si>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</si>
  <si>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</si>
  <si>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</si>
  <si>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</si>
  <si>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</si>
  <si>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</si>
  <si>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</si>
  <si>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</si>
  <si>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</si>
  <si>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</si>
  <si>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</si>
  <si>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</si>
  <si>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</si>
  <si>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</si>
  <si>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</si>
  <si>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</si>
  <si>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</si>
  <si>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</si>
  <si>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</si>
  <si>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</si>
  <si>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</si>
  <si>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</si>
  <si>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</si>
  <si>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</si>
  <si>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</si>
  <si>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</si>
  <si>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</si>
  <si>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</si>
  <si>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</si>
  <si>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</si>
  <si>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</si>
  <si>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</si>
  <si>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</si>
  <si>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</si>
  <si>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</si>
  <si>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</si>
  <si>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</si>
  <si>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</si>
  <si>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</si>
  <si>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</si>
  <si>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</si>
  <si>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</si>
  <si>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</si>
  <si>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</si>
  <si>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</si>
  <si>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</si>
  <si>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</si>
  <si>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</si>
  <si>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</si>
  <si>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</si>
  <si>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</si>
  <si>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</si>
  <si>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</si>
  <si>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</si>
  <si>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</si>
  <si>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</si>
  <si>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</si>
  <si>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</si>
  <si>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</si>
  <si>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</si>
  <si>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</si>
  <si>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</si>
  <si>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</si>
  <si>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</si>
  <si>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</si>
  <si>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</si>
  <si>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</si>
  <si>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</si>
  <si>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</si>
  <si>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</si>
  <si>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</si>
  <si>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</si>
  <si>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</si>
  <si>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</si>
  <si>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</si>
  <si>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</si>
  <si>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</si>
  <si>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</si>
  <si>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</si>
  <si>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</si>
  <si>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</si>
  <si>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</si>
  <si>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</si>
  <si>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</si>
  <si>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</si>
  <si>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</si>
  <si>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</si>
  <si>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</si>
  <si>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</si>
  <si>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</si>
  <si>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</si>
  <si>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</si>
  <si>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</si>
  <si>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</si>
  <si>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</si>
  <si>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</si>
  <si>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</si>
  <si>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</si>
  <si>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</si>
  <si>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</si>
  <si>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</si>
  <si>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</si>
  <si>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</si>
  <si>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</si>
  <si>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</si>
  <si>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</si>
  <si>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</si>
  <si>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</si>
  <si>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</si>
  <si>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</si>
  <si>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</si>
  <si>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</si>
  <si>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</si>
  <si>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</si>
  <si>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</si>
  <si>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</si>
  <si>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</si>
  <si>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</si>
  <si>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</si>
  <si>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</si>
  <si>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</si>
  <si>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</si>
  <si>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</si>
  <si>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</si>
  <si>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</si>
  <si>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</si>
  <si>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</si>
  <si>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</si>
  <si>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</si>
  <si>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</si>
  <si>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</si>
  <si>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</si>
  <si>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</si>
  <si>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</si>
  <si>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</si>
  <si>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</si>
  <si>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</si>
  <si>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</si>
  <si>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</si>
  <si>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</si>
  <si>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</si>
  <si>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</si>
  <si>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</si>
  <si>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</si>
  <si>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</si>
  <si>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</si>
  <si>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</si>
  <si>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</si>
  <si>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</si>
  <si>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</si>
  <si>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</si>
  <si>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</si>
  <si>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</si>
  <si>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</si>
  <si>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</si>
  <si>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</si>
  <si>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</si>
  <si>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</si>
  <si>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</si>
  <si>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</si>
  <si>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</si>
  <si>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</si>
  <si>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</si>
  <si>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</si>
  <si>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</si>
  <si>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</si>
  <si>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</si>
  <si>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</si>
  <si>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</si>
  <si>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</si>
  <si>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</si>
  <si>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</si>
  <si>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</si>
  <si>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</si>
  <si>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</si>
  <si>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</si>
  <si>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</si>
  <si>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</si>
  <si>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</si>
  <si>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</si>
  <si>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</si>
  <si>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</si>
  <si>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</si>
  <si>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</si>
  <si>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</si>
  <si>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</si>
  <si>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</si>
  <si>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</si>
  <si>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</si>
  <si>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</si>
  <si>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</si>
  <si>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</si>
  <si>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</si>
  <si>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</si>
  <si>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</si>
  <si>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</si>
  <si>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</si>
  <si>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</si>
  <si>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</si>
  <si>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</si>
  <si>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</si>
  <si>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</si>
  <si>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</si>
  <si>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</si>
  <si>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</si>
  <si>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</si>
  <si>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</si>
  <si>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</si>
  <si>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</si>
  <si>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</si>
  <si>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</si>
  <si>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</si>
  <si>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</si>
  <si>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</si>
  <si>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</si>
  <si>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</si>
  <si>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</si>
  <si>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</si>
  <si>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</si>
  <si>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</si>
  <si>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</si>
  <si>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</si>
  <si>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</si>
  <si>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</si>
  <si>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</si>
  <si>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</si>
  <si>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</si>
  <si>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</si>
  <si>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</si>
  <si>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</si>
  <si>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</si>
  <si>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</si>
  <si>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</si>
  <si>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</si>
  <si>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</si>
  <si>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</si>
  <si>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</si>
  <si>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</si>
  <si>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</si>
  <si>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</si>
  <si>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</si>
  <si>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</si>
  <si>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</si>
  <si>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</si>
  <si>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</si>
  <si>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</si>
  <si>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</si>
  <si>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</si>
  <si>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</si>
  <si>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</si>
  <si>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</si>
  <si>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</si>
  <si>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</si>
  <si>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</si>
  <si>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</si>
  <si>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</si>
  <si>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</si>
  <si>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</si>
  <si>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</si>
  <si>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</si>
  <si>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</si>
  <si>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</si>
  <si>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</si>
  <si>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</si>
  <si>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</si>
  <si>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</si>
  <si>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</si>
  <si>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</si>
  <si>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</si>
  <si>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</si>
  <si>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</si>
  <si>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</si>
  <si>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</si>
  <si>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</si>
  <si>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</si>
  <si>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</si>
  <si>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</si>
  <si>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</si>
  <si>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</si>
  <si>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</si>
  <si>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</si>
  <si>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</si>
  <si>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</si>
  <si>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</si>
  <si>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</si>
  <si>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</si>
  <si>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</si>
  <si>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</si>
  <si>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</si>
  <si>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</si>
  <si>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</si>
  <si>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</si>
  <si>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</si>
  <si>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</si>
  <si>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</si>
  <si>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</si>
  <si>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</si>
  <si>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</si>
  <si>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</si>
  <si>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</si>
  <si>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</si>
  <si>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</si>
  <si>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</si>
  <si>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</si>
  <si>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</si>
  <si>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</si>
  <si>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</si>
  <si>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</si>
  <si>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</si>
  <si>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</si>
  <si>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</si>
  <si>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</si>
  <si>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</si>
  <si>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</si>
  <si>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</si>
  <si>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</si>
  <si>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</si>
  <si>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</si>
  <si>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</si>
  <si>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</si>
  <si>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</si>
  <si>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</si>
  <si>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</si>
  <si>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</si>
  <si>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</si>
  <si>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</si>
  <si>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</si>
  <si>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</si>
  <si>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</si>
  <si>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</si>
  <si>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</si>
  <si>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</si>
  <si>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</si>
  <si>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</si>
  <si>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</si>
  <si>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</si>
  <si>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</si>
  <si>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</si>
  <si>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</si>
  <si>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</si>
  <si>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</si>
  <si>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</si>
  <si>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</si>
  <si>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</si>
  <si>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</si>
  <si>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</si>
  <si>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</si>
  <si>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</si>
  <si>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</si>
  <si>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</si>
  <si>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</si>
  <si>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</si>
  <si>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</si>
  <si>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</si>
  <si>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</si>
  <si>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</si>
  <si>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</si>
  <si>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</si>
  <si>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</si>
  <si>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</si>
  <si>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</si>
  <si>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</si>
  <si>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</si>
  <si>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</si>
  <si>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</si>
  <si>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</si>
  <si>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</si>
  <si>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</si>
  <si>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</si>
  <si>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</si>
  <si>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</si>
  <si>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</si>
  <si>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</si>
  <si>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</si>
  <si>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</si>
  <si>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</si>
  <si>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</si>
  <si>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</si>
  <si>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</si>
  <si>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</si>
  <si>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</si>
  <si>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</si>
  <si>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</si>
  <si>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</si>
  <si>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</si>
  <si>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</si>
  <si>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</si>
  <si>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</si>
  <si>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</si>
  <si>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</si>
  <si>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</si>
  <si>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</si>
  <si>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</si>
  <si>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</si>
  <si>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</si>
  <si>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</si>
  <si>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</si>
  <si>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</si>
  <si>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</si>
  <si>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</si>
  <si>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</si>
  <si>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</si>
  <si>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</si>
  <si>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</si>
  <si>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</si>
  <si>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</si>
  <si>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</si>
  <si>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</si>
  <si>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</si>
  <si>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</si>
  <si>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</si>
  <si>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</si>
  <si>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</si>
  <si>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</si>
  <si>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</si>
  <si>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</si>
  <si>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</si>
  <si>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</si>
  <si>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</si>
  <si>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</si>
  <si>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</si>
  <si>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</si>
  <si>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</si>
  <si>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</si>
  <si>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</si>
  <si>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</si>
  <si>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</si>
  <si>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</si>
  <si>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</si>
  <si>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</si>
  <si>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</si>
  <si>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</si>
  <si>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</si>
  <si>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</si>
  <si>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</si>
  <si>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</si>
  <si>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</si>
  <si>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</si>
  <si>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</si>
  <si>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</si>
  <si>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</si>
  <si>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</si>
  <si>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</si>
  <si>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</si>
  <si>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</si>
  <si>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</si>
  <si>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</si>
  <si>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</si>
  <si>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</si>
  <si>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</si>
  <si>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</si>
  <si>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</si>
  <si>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</si>
  <si>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</si>
  <si>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</si>
  <si>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</si>
  <si>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</si>
  <si>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</si>
  <si>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</si>
  <si>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</si>
  <si>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</si>
  <si>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</si>
  <si>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</si>
  <si>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</si>
  <si>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</si>
  <si>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</si>
  <si>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</si>
  <si>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</si>
  <si>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</si>
  <si>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</si>
  <si>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</si>
  <si>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</si>
  <si>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</si>
  <si>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</si>
  <si>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</si>
  <si>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</si>
  <si>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</si>
  <si>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</si>
  <si>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</si>
  <si>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</si>
  <si>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</si>
  <si>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</si>
  <si>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</si>
  <si>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</si>
  <si>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</si>
  <si>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</si>
  <si>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</si>
  <si>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</si>
  <si>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</si>
  <si>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</si>
  <si>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</si>
  <si>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</si>
  <si>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</si>
  <si>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</si>
  <si>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</si>
  <si>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</si>
  <si>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</si>
  <si>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</si>
  <si>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</si>
  <si>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</si>
  <si>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</si>
  <si>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</si>
  <si>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</si>
  <si>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</si>
  <si>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</si>
  <si>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</si>
  <si>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</si>
  <si>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</si>
  <si>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</si>
  <si>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</si>
  <si>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</si>
  <si>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</si>
  <si>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</si>
  <si>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</si>
  <si>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</si>
  <si>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</si>
  <si>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</si>
  <si>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</si>
  <si>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</si>
  <si>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</si>
  <si>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</si>
  <si>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</si>
  <si>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</si>
  <si>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</si>
  <si>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</si>
  <si>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</si>
  <si>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</si>
  <si>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</si>
  <si>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</si>
  <si>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</si>
  <si>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</si>
  <si>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</si>
  <si>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</si>
  <si>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</si>
  <si>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</si>
  <si>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</si>
  <si>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</si>
  <si>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</si>
  <si>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</si>
  <si>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</si>
  <si>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</si>
  <si>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</si>
  <si>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</si>
  <si>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</si>
  <si>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</si>
  <si>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</si>
  <si>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</si>
  <si>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</si>
  <si>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</si>
  <si>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</si>
  <si>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</si>
  <si>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</si>
  <si>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</si>
  <si>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</si>
  <si>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</si>
  <si>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</si>
  <si>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</si>
  <si>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</si>
  <si>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</si>
  <si>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</si>
  <si>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</si>
  <si>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</si>
  <si>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</si>
  <si>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</si>
  <si>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</si>
  <si>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</si>
  <si>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</si>
  <si>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</si>
  <si>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</si>
  <si>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</si>
  <si>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</si>
  <si>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</si>
  <si>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</si>
  <si>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</si>
  <si>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</si>
  <si>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</si>
  <si>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</si>
  <si>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</si>
  <si>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</si>
  <si>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</si>
  <si>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</si>
  <si>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</si>
  <si>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</si>
  <si>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</si>
  <si>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</si>
  <si>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</si>
  <si>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</si>
  <si>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</si>
  <si>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</si>
  <si>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</si>
  <si>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</si>
  <si>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</si>
  <si>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</si>
  <si>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</si>
  <si>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</si>
  <si>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</si>
  <si>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</si>
  <si>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</si>
  <si>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</si>
  <si>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</si>
  <si>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</si>
  <si>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</si>
  <si>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</si>
  <si>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</si>
  <si>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</si>
  <si>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</si>
  <si>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</si>
  <si>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</si>
  <si>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</si>
  <si>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</si>
  <si>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</si>
  <si>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</si>
  <si>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</si>
  <si>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</si>
  <si>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</si>
  <si>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</si>
  <si>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</si>
  <si>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</si>
  <si>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</si>
  <si>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</si>
  <si>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</si>
  <si>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</si>
  <si>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</si>
  <si>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</si>
  <si>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</si>
  <si>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</si>
  <si>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</si>
  <si>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</si>
  <si>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</si>
  <si>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</si>
  <si>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</si>
  <si>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</si>
  <si>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</si>
  <si>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</si>
  <si>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</si>
  <si>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</si>
  <si>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</si>
  <si>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</si>
  <si>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</si>
  <si>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</si>
  <si>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</si>
  <si>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</si>
  <si>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</si>
  <si>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</si>
  <si>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</si>
  <si>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</si>
  <si>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</si>
  <si>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</si>
  <si>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</si>
  <si>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</si>
  <si>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</si>
  <si>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</si>
  <si>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</si>
  <si>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</si>
  <si>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</si>
  <si>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</si>
  <si>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</si>
  <si>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</si>
  <si>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</si>
  <si>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</si>
  <si>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</si>
  <si>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</si>
  <si>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</si>
  <si>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</si>
  <si>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</si>
  <si>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</si>
  <si>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</si>
  <si>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</si>
  <si>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</si>
  <si>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</si>
  <si>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</si>
  <si>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</si>
  <si>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</si>
  <si>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</si>
  <si>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</si>
  <si>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</si>
  <si>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</si>
  <si>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</si>
  <si>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</si>
  <si>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</si>
  <si>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</si>
  <si>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</si>
  <si>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</si>
  <si>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</si>
  <si>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</si>
  <si>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</si>
  <si>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</si>
  <si>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</si>
  <si>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</si>
  <si>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</si>
  <si>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</si>
  <si>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</si>
  <si>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</si>
  <si>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</si>
  <si>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</si>
  <si>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</si>
  <si>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</si>
  <si>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</si>
  <si>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</si>
  <si>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</si>
  <si>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</si>
  <si>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</si>
  <si>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</si>
  <si>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</si>
  <si>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</si>
  <si>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</si>
  <si>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</si>
  <si>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</si>
  <si>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</si>
  <si>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</si>
  <si>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</si>
  <si>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</si>
  <si>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</si>
  <si>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</si>
  <si>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</si>
  <si>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</si>
  <si>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</si>
  <si>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</si>
  <si>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</si>
  <si>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</si>
  <si>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</si>
  <si>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</si>
  <si>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</si>
  <si>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</si>
  <si>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</si>
  <si>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</si>
  <si>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</si>
  <si>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</si>
  <si>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</si>
  <si>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</si>
  <si>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</si>
  <si>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</si>
  <si>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</si>
  <si>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</si>
  <si>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</si>
  <si>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</si>
  <si>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</si>
  <si>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</si>
  <si>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</si>
  <si>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</si>
  <si>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</si>
  <si>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</si>
  <si>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</si>
  <si>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</si>
  <si>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</si>
  <si>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</si>
  <si>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</si>
  <si>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</si>
  <si>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</si>
  <si>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</si>
  <si>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</si>
  <si>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</si>
  <si>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</si>
  <si>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</si>
  <si>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</si>
  <si>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</si>
  <si>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</si>
  <si>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</si>
  <si>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</si>
  <si>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</si>
  <si>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</si>
  <si>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</si>
  <si>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</si>
  <si>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</si>
  <si>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</si>
  <si>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</si>
  <si>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</si>
  <si>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</si>
  <si>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</si>
  <si>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</si>
  <si>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</si>
  <si>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</si>
  <si>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</si>
  <si>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</si>
  <si>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</si>
  <si>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</si>
  <si>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</si>
  <si>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</si>
  <si>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</si>
  <si>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</si>
  <si>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</si>
  <si>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</si>
  <si>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</si>
  <si>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</si>
  <si>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</si>
  <si>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</si>
  <si>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</si>
  <si>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</si>
  <si>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</si>
  <si>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</si>
  <si>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</si>
  <si>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</si>
  <si>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</si>
  <si>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</si>
  <si>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</si>
  <si>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</si>
  <si>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</si>
  <si>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</si>
  <si>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</si>
  <si>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</si>
  <si>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</si>
  <si>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</si>
  <si>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</si>
  <si>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</si>
  <si>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</si>
  <si>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</si>
  <si>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</si>
  <si>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</si>
  <si>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</si>
  <si>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</si>
  <si>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</si>
  <si>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</si>
  <si>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</si>
  <si>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</si>
  <si>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</si>
  <si>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</si>
  <si>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</si>
  <si>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</si>
  <si>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</si>
  <si>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</si>
  <si>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</si>
  <si>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</si>
  <si>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</si>
  <si>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</si>
  <si>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</si>
  <si>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</si>
  <si>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</si>
  <si>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</si>
  <si>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</si>
  <si>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</si>
  <si>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</si>
  <si>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</si>
  <si>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</si>
  <si>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</si>
  <si>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</si>
  <si>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</si>
  <si>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</si>
  <si>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</si>
  <si>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</si>
  <si>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</si>
  <si>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</si>
  <si>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</si>
  <si>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</si>
  <si>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</si>
  <si>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</si>
  <si>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</si>
  <si>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</si>
  <si>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</si>
  <si>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</si>
  <si>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</si>
  <si>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</si>
  <si>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</si>
  <si>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</si>
  <si>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</si>
  <si>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</si>
  <si>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</si>
  <si>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</si>
  <si>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</si>
  <si>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</si>
  <si>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</si>
  <si>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</si>
  <si>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</si>
  <si>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</si>
  <si>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</si>
  <si>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</si>
  <si>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</si>
  <si>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</si>
  <si>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</si>
  <si>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</si>
  <si>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</si>
  <si>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</si>
  <si>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</si>
  <si>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</si>
  <si>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</si>
  <si>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</si>
  <si>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</si>
  <si>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</si>
  <si>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</si>
  <si>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</si>
  <si>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</si>
  <si>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</si>
  <si>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</si>
  <si>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</si>
  <si>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</si>
  <si>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</si>
  <si>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</si>
  <si>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</si>
  <si>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</si>
  <si>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</si>
  <si>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</si>
  <si>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</si>
  <si>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</si>
  <si>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</si>
  <si>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</si>
  <si>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</si>
  <si>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</si>
  <si>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</si>
  <si>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</si>
  <si>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</si>
  <si>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</si>
  <si>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</si>
  <si>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</si>
  <si>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</si>
  <si>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</si>
  <si>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</si>
  <si>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</si>
  <si>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</si>
  <si>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</si>
  <si>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</si>
  <si>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</si>
  <si>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</si>
  <si>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</si>
  <si>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</si>
  <si>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</si>
  <si>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</si>
  <si>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</si>
  <si>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</si>
  <si>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</si>
  <si>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</si>
  <si>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</si>
  <si>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</si>
  <si>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</si>
  <si>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</si>
  <si>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</si>
  <si>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</si>
  <si>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</si>
  <si>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</si>
  <si>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</si>
  <si>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</si>
  <si>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</si>
  <si>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</si>
  <si>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</si>
  <si>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</si>
  <si>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</si>
  <si>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</si>
  <si>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</si>
  <si>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</si>
  <si>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</si>
  <si>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</si>
  <si>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</si>
  <si>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</si>
  <si>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</si>
  <si>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</si>
  <si>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</si>
  <si>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</si>
  <si>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</si>
  <si>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</si>
  <si>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</si>
  <si>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</si>
  <si>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</si>
  <si>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</si>
  <si>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</si>
  <si>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</si>
  <si>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</si>
  <si>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</si>
  <si>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</si>
  <si>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</si>
  <si>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</si>
  <si>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</si>
  <si>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</si>
  <si>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</si>
  <si>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</si>
  <si>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</si>
  <si>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</si>
  <si>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</si>
  <si>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</si>
  <si>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</si>
  <si>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</si>
  <si>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</si>
  <si>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</si>
  <si>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</si>
  <si>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</si>
  <si>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</si>
  <si>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</si>
  <si>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</si>
  <si>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</si>
  <si>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</si>
  <si>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</si>
  <si>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</si>
  <si>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</si>
  <si>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</si>
  <si>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</si>
  <si>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</si>
  <si>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</si>
  <si>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</si>
  <si>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</si>
  <si>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</si>
  <si>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</si>
  <si>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</si>
  <si>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</si>
  <si>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</si>
  <si>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</si>
  <si>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</si>
  <si>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</si>
  <si>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</si>
  <si>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</si>
  <si>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</si>
  <si>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</si>
  <si>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</si>
  <si>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</si>
  <si>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</si>
  <si>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</si>
  <si>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</si>
  <si>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</si>
  <si>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</si>
  <si>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</si>
  <si>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</si>
  <si>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</si>
  <si>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</si>
  <si>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</si>
  <si>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</si>
  <si>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</si>
  <si>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</si>
  <si>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</si>
  <si>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</si>
  <si>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</si>
  <si>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</si>
  <si>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</si>
  <si>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</si>
  <si>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</si>
  <si>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</si>
  <si>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</si>
  <si>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</si>
  <si>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</si>
  <si>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</si>
  <si>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</si>
  <si>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</si>
  <si>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</si>
  <si>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</si>
  <si>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</si>
  <si>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</si>
  <si>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</si>
  <si>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</si>
  <si>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</si>
  <si>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</si>
  <si>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</si>
  <si>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</si>
  <si>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</si>
  <si>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</si>
  <si>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</si>
  <si>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</si>
  <si>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</si>
  <si>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</si>
  <si>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</si>
  <si>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</si>
  <si>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</si>
  <si>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</si>
  <si>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</si>
  <si>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</si>
  <si>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</si>
  <si>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</si>
  <si>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</si>
  <si>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</si>
  <si>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</si>
  <si>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</si>
  <si>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</si>
  <si>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</si>
  <si>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</si>
  <si>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</si>
  <si>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</si>
  <si>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</si>
  <si>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</si>
  <si>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</si>
  <si>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</si>
  <si>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</si>
  <si>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</si>
  <si>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</si>
  <si>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</si>
  <si>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</si>
  <si>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</si>
  <si>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</si>
  <si>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</si>
  <si>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</si>
  <si>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</si>
  <si>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</si>
  <si>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</si>
  <si>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</si>
  <si>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</si>
  <si>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</si>
  <si>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</si>
  <si>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</si>
  <si>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</si>
  <si>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</si>
  <si>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</si>
  <si>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</si>
  <si>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</si>
  <si>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</si>
  <si>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</si>
  <si>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</si>
  <si>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</si>
  <si>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</si>
  <si>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</si>
  <si>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</si>
  <si>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</si>
  <si>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</si>
  <si>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</si>
  <si>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</si>
  <si>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</si>
  <si>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</si>
  <si>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</si>
  <si>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</si>
  <si>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</si>
  <si>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</si>
  <si>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</si>
  <si>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</si>
  <si>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</si>
  <si>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</si>
  <si>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</si>
  <si>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</si>
  <si>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</si>
  <si>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</si>
  <si>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</si>
  <si>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</si>
  <si>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</si>
  <si>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</si>
  <si>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</si>
  <si>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</si>
  <si>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</si>
  <si>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</si>
  <si>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</si>
  <si>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</si>
  <si>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</si>
  <si>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</si>
  <si>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</si>
  <si>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</si>
  <si>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</si>
  <si>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</si>
  <si>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</si>
  <si>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</si>
  <si>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</si>
  <si>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</si>
  <si>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</si>
  <si>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</si>
  <si>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</si>
  <si>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</si>
  <si>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</si>
  <si>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</si>
  <si>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</si>
  <si>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</si>
  <si>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</si>
  <si>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</si>
  <si>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</si>
  <si>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</si>
  <si>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</si>
  <si>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</si>
  <si>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</si>
  <si>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</si>
  <si>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</si>
  <si>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</si>
  <si>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</si>
  <si>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</si>
  <si>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</si>
  <si>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</si>
  <si>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</si>
  <si>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</si>
  <si>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</si>
  <si>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</si>
  <si>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</si>
  <si>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</si>
  <si>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</si>
  <si>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</si>
  <si>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</si>
  <si>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</si>
  <si>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</si>
  <si>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</si>
  <si>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</si>
  <si>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</si>
  <si>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</si>
  <si>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</si>
  <si>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</si>
  <si>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</si>
  <si>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</si>
  <si>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</si>
  <si>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</si>
  <si>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</si>
  <si>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</si>
  <si>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</si>
  <si>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</si>
  <si>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</si>
  <si>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</si>
  <si>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</si>
  <si>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</si>
  <si>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</si>
  <si>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</si>
  <si>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</si>
  <si>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</si>
  <si>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</si>
  <si>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</si>
  <si>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</si>
  <si>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</si>
  <si>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</si>
  <si>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</si>
  <si>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</si>
  <si>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</si>
  <si>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</si>
  <si>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</si>
  <si>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</si>
  <si>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</si>
  <si>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</si>
  <si>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</si>
  <si>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</si>
  <si>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</si>
  <si>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</si>
  <si>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</si>
  <si>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</si>
  <si>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</si>
  <si>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</si>
  <si>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</si>
  <si>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</si>
  <si>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</si>
  <si>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</si>
  <si>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</si>
  <si>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</si>
  <si>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</si>
  <si>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</si>
  <si>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</si>
  <si>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</si>
  <si>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</si>
  <si>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</si>
  <si>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</si>
  <si>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</si>
  <si>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</si>
  <si>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</si>
  <si>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</si>
  <si>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</si>
  <si>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</si>
  <si>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</si>
  <si>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</si>
  <si>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</si>
  <si>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</si>
  <si>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</si>
  <si>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</si>
  <si>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</si>
  <si>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</si>
  <si>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</si>
  <si>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</si>
  <si>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</si>
  <si>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</si>
  <si>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</si>
  <si>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</si>
  <si>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</si>
  <si>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</si>
  <si>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</si>
  <si>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</si>
  <si>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</si>
  <si>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</si>
  <si>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</si>
  <si>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</si>
  <si>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</si>
  <si>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</si>
  <si>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</si>
  <si>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</si>
  <si>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</si>
  <si>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</si>
  <si>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</si>
  <si>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</si>
  <si>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</si>
  <si>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</si>
  <si>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</si>
  <si>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</si>
  <si>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</si>
  <si>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</si>
  <si>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</si>
  <si>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</si>
  <si>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</si>
  <si>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</si>
  <si>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</si>
  <si>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</si>
  <si>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</si>
  <si>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</si>
  <si>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</si>
  <si>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</si>
  <si>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</si>
  <si>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</si>
  <si>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</si>
  <si>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</si>
  <si>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</si>
  <si>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</si>
  <si>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</si>
  <si>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</si>
  <si>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</si>
  <si>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</si>
  <si>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</si>
  <si>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</si>
  <si>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</si>
  <si>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</si>
  <si>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</si>
  <si>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</si>
  <si>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</si>
  <si>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</si>
  <si>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</si>
  <si>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</si>
  <si>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</si>
  <si>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</si>
  <si>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</si>
  <si>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</si>
  <si>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</si>
  <si>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</si>
  <si>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</si>
  <si>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</si>
  <si>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</si>
  <si>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</si>
  <si>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</si>
  <si>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</si>
  <si>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</si>
  <si>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</si>
  <si>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</si>
  <si>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</si>
  <si>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</si>
  <si>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</si>
  <si>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</si>
  <si>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</si>
  <si>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</si>
  <si>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</si>
  <si>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</si>
  <si>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</si>
  <si>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</si>
  <si>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</si>
  <si>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</si>
  <si>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</si>
  <si>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</si>
  <si>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</si>
  <si>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</si>
  <si>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</si>
  <si>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</si>
  <si>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</si>
  <si>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</si>
  <si>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</si>
  <si>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</si>
  <si>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</si>
  <si>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</si>
  <si>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</si>
  <si>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</si>
  <si>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</si>
  <si>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</si>
  <si>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</si>
  <si>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</si>
  <si>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</si>
  <si>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</si>
  <si>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</si>
  <si>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</si>
  <si>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</si>
  <si>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</si>
  <si>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</si>
  <si>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</si>
  <si>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</si>
  <si>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</si>
  <si>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</si>
  <si>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</si>
  <si>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</si>
  <si>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</si>
  <si>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</si>
  <si>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</si>
  <si>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</si>
  <si>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</si>
  <si>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</si>
  <si>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</si>
  <si>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</si>
  <si>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</si>
  <si>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</si>
  <si>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</si>
  <si>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</si>
  <si>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</si>
  <si>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</si>
  <si>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</si>
  <si>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</si>
  <si>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</si>
  <si>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</si>
  <si>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</si>
  <si>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</si>
  <si>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</si>
  <si>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</si>
  <si>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</si>
  <si>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</si>
  <si>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</si>
  <si>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</si>
  <si>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</si>
  <si>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</si>
  <si>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</si>
  <si>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</si>
  <si>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</si>
  <si>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</si>
  <si>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</si>
  <si>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</si>
  <si>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</si>
  <si>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</si>
  <si>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</si>
  <si>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</si>
  <si>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</si>
  <si>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</si>
  <si>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</si>
  <si>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</si>
  <si>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</si>
  <si>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</si>
  <si>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</si>
  <si>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</si>
  <si>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</si>
  <si>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</si>
  <si>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</si>
  <si>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</si>
  <si>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</si>
  <si>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</si>
  <si>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</si>
  <si>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</si>
  <si>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</si>
  <si>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</si>
  <si>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</si>
  <si>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</si>
  <si>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</si>
  <si>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</si>
  <si>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</si>
  <si>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</si>
  <si>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</si>
  <si>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</si>
  <si>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</si>
  <si>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</si>
  <si>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</si>
  <si>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</si>
  <si>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</si>
  <si>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</si>
  <si>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</si>
  <si>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</si>
  <si>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</si>
  <si>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</si>
  <si>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</si>
  <si>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</si>
  <si>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</si>
  <si>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</si>
  <si>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</si>
  <si>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</si>
  <si>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</si>
  <si>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</si>
  <si>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</si>
  <si>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</si>
  <si>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</si>
  <si>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</si>
  <si>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</si>
  <si>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</si>
  <si>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</si>
  <si>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</si>
  <si>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</si>
  <si>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</si>
  <si>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</si>
  <si>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</si>
  <si>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</si>
  <si>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</si>
  <si>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</si>
  <si>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</si>
  <si>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</si>
  <si>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</si>
  <si>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</si>
  <si>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</si>
  <si>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</si>
  <si>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</si>
  <si>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</si>
  <si>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</si>
  <si>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</si>
  <si>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</si>
  <si>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</si>
  <si>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</si>
  <si>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</si>
  <si>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</si>
  <si>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</si>
  <si>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</si>
  <si>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</si>
  <si>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</si>
  <si>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</si>
  <si>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</si>
  <si>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</si>
  <si>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</si>
  <si>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</si>
  <si>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</si>
  <si>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</si>
  <si>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</si>
  <si>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</si>
  <si>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</si>
  <si>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</si>
  <si>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</si>
  <si>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</si>
  <si>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</si>
  <si>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</si>
  <si>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</si>
  <si>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</si>
  <si>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</si>
  <si>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</si>
  <si>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</si>
  <si>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</si>
  <si>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</si>
  <si>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</si>
  <si>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</si>
  <si>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</si>
  <si>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</si>
  <si>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</si>
  <si>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</si>
  <si>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</si>
  <si>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</si>
  <si>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</si>
  <si>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</si>
  <si>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</si>
  <si>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</si>
  <si>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</si>
  <si>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</si>
  <si>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</si>
  <si>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</si>
  <si>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</si>
  <si>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</si>
  <si>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</si>
  <si>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</si>
  <si>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</si>
  <si>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</si>
  <si>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</si>
  <si>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</si>
  <si>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</si>
  <si>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</si>
  <si>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</si>
  <si>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</si>
  <si>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</si>
  <si>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</si>
  <si>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</si>
  <si>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</si>
  <si>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</si>
  <si>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</si>
  <si>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</si>
  <si>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</si>
  <si>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</si>
  <si>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</si>
  <si>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</si>
  <si>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</si>
  <si>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</si>
  <si>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</si>
  <si>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</si>
  <si>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</si>
  <si>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</si>
  <si>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</si>
  <si>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</si>
  <si>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</si>
  <si>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</si>
  <si>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</si>
  <si>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</si>
  <si>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</si>
  <si>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</si>
  <si>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</si>
  <si>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</si>
  <si>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</si>
  <si>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</si>
  <si>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</si>
  <si>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</si>
  <si>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</si>
  <si>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</si>
  <si>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</si>
  <si>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</si>
  <si>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</si>
  <si>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</si>
  <si>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</si>
  <si>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</si>
  <si>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</si>
  <si>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</si>
  <si>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</si>
  <si>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</si>
  <si>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</si>
  <si>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</si>
  <si>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</si>
  <si>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</si>
  <si>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</si>
  <si>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</si>
  <si>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</si>
  <si>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</si>
  <si>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</si>
  <si>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</si>
  <si>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</si>
  <si>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</si>
  <si>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</si>
  <si>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</si>
  <si>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</si>
  <si>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</si>
  <si>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</si>
  <si>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</si>
  <si>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</si>
  <si>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</si>
  <si>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</si>
  <si>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</si>
  <si>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</si>
  <si>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</si>
  <si>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</si>
  <si>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</si>
  <si>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</si>
  <si>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</si>
  <si>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</si>
  <si>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</si>
  <si>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</si>
  <si>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</si>
  <si>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</si>
  <si>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</si>
  <si>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</si>
  <si>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</si>
  <si>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</si>
  <si>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</si>
  <si>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</si>
  <si>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</si>
  <si>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</si>
  <si>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</si>
  <si>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</si>
  <si>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</si>
  <si>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</si>
  <si>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</si>
  <si>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</si>
  <si>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</si>
  <si>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</si>
  <si>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</si>
  <si>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</si>
  <si>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</si>
  <si>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</si>
  <si>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</si>
  <si>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</si>
  <si>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</si>
  <si>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</si>
  <si>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</si>
  <si>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</si>
  <si>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</si>
  <si>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</si>
  <si>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</si>
  <si>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</si>
  <si>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</si>
  <si>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</si>
  <si>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</si>
  <si>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</si>
  <si>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</si>
  <si>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</si>
  <si>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</si>
  <si>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</si>
  <si>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</si>
  <si>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</si>
  <si>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</si>
  <si>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</si>
  <si>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</si>
  <si>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</si>
  <si>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</si>
  <si>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</si>
  <si>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</si>
  <si>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</si>
  <si>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</si>
  <si>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</si>
  <si>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</si>
  <si>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</si>
  <si>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</si>
  <si>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</si>
  <si>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</si>
  <si>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</si>
  <si>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</si>
  <si>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</si>
  <si>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</si>
  <si>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</si>
  <si>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</si>
  <si>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</si>
  <si>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</si>
  <si>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</si>
  <si>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</si>
  <si>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</si>
  <si>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</si>
  <si>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</si>
  <si>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</si>
  <si>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</si>
  <si>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</si>
  <si>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</si>
  <si>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</si>
  <si>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</si>
  <si>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</si>
  <si>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</si>
  <si>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</si>
  <si>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</si>
  <si>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</si>
  <si>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</si>
  <si>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</si>
  <si>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</si>
  <si>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</si>
  <si>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</si>
  <si>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</si>
  <si>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</si>
  <si>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</si>
  <si>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</si>
  <si>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</si>
  <si>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</si>
  <si>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</si>
  <si>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</si>
  <si>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</si>
  <si>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</si>
  <si>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</si>
  <si>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</si>
  <si>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</si>
  <si>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</si>
  <si>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</si>
  <si>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</si>
  <si>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</si>
  <si>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</si>
  <si>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</si>
  <si>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</si>
  <si>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</si>
  <si>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</si>
  <si>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</si>
  <si>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</si>
  <si>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</si>
  <si>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</si>
  <si>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</si>
  <si>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</si>
  <si>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</si>
  <si>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</si>
  <si>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</si>
  <si>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</si>
  <si>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</si>
  <si>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</si>
  <si>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</si>
  <si>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</si>
  <si>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</si>
  <si>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</si>
  <si>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</si>
  <si>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</si>
  <si>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</si>
  <si>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</si>
  <si>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</si>
  <si>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</si>
  <si>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</si>
  <si>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</si>
  <si>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</si>
  <si>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</si>
  <si>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</si>
  <si>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</si>
  <si>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</si>
  <si>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</si>
  <si>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</si>
  <si>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</si>
  <si>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</si>
  <si>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</si>
  <si>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</si>
  <si>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</si>
  <si>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</si>
  <si>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</si>
  <si>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</si>
  <si>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</si>
  <si>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</si>
  <si>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</si>
  <si>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</si>
  <si>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</si>
  <si>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</si>
  <si>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</si>
  <si>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</si>
  <si>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</si>
  <si>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</si>
  <si>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</si>
  <si>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</si>
  <si>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</si>
  <si>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</si>
  <si>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</si>
  <si>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</si>
  <si>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</si>
  <si>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</si>
  <si>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</si>
  <si>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</si>
  <si>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</si>
  <si>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</si>
  <si>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</si>
  <si>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</si>
  <si>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</si>
  <si>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</si>
  <si>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</si>
  <si>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</si>
  <si>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</si>
  <si>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</si>
  <si>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</si>
  <si>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</si>
  <si>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</si>
  <si>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</si>
  <si>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</si>
  <si>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</si>
  <si>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</si>
  <si>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</si>
  <si>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</si>
  <si>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</si>
  <si>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</si>
  <si>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</si>
  <si>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</si>
  <si>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</si>
  <si>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</si>
  <si>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</si>
  <si>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</si>
  <si>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</si>
  <si>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</si>
  <si>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</si>
  <si>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</si>
  <si>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</si>
  <si>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</si>
  <si>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</si>
  <si>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</si>
  <si>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</si>
  <si>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</si>
  <si>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</si>
  <si>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</si>
  <si>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</si>
  <si>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</si>
  <si>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</si>
  <si>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</si>
  <si>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</si>
  <si>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</si>
  <si>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</si>
  <si>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</si>
  <si>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</si>
  <si>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</si>
  <si>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</si>
  <si>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</si>
  <si>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</si>
  <si>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</si>
  <si>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</si>
  <si>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</si>
  <si>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</si>
  <si>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</si>
  <si>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</si>
  <si>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</si>
  <si>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</si>
  <si>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</si>
  <si>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</si>
  <si>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</si>
  <si>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</si>
  <si>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</si>
  <si>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</si>
  <si>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</si>
  <si>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</si>
  <si>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</si>
  <si>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</si>
  <si>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</si>
  <si>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</si>
  <si>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</si>
  <si>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</si>
  <si>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</si>
  <si>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</si>
  <si>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</si>
  <si>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</si>
  <si>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</si>
  <si>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</si>
  <si>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</si>
  <si>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</si>
  <si>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</si>
  <si>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</si>
  <si>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</si>
  <si>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</si>
  <si>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</si>
  <si>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</si>
  <si>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</si>
  <si>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</si>
  <si>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</si>
  <si>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</si>
  <si>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</si>
  <si>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</si>
  <si>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</si>
  <si>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</si>
  <si>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</si>
  <si>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</si>
  <si>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</si>
  <si>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</si>
  <si>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</si>
  <si>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</si>
  <si>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</si>
  <si>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</si>
  <si>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</si>
  <si>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</si>
  <si>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</si>
  <si>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</si>
  <si>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</si>
  <si>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</si>
  <si>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</si>
  <si>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</si>
  <si>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</si>
  <si>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</si>
  <si>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</si>
  <si>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</si>
  <si>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</si>
  <si>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</si>
  <si>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</si>
  <si>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</si>
  <si>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</si>
  <si>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</si>
  <si>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</si>
  <si>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</si>
  <si>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</si>
  <si>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</si>
  <si>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</si>
  <si>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</si>
  <si>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</si>
  <si>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</si>
  <si>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</si>
  <si>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</si>
  <si>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</si>
  <si>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</si>
  <si>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</si>
  <si>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</si>
  <si>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</si>
  <si>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</si>
  <si>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</si>
  <si>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</si>
  <si>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</si>
  <si>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</si>
  <si>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</si>
  <si>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</si>
  <si>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</si>
  <si>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</si>
  <si>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</si>
  <si>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</si>
  <si>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</si>
  <si>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</si>
  <si>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</si>
  <si>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</si>
  <si>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</si>
  <si>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</si>
  <si>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</si>
  <si>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</si>
  <si>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</si>
  <si>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</si>
  <si>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</si>
  <si>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</si>
  <si>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</si>
  <si>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</si>
  <si>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</si>
  <si>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</si>
  <si>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</si>
  <si>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</si>
  <si>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</si>
  <si>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</si>
  <si>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</si>
  <si>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</si>
  <si>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</si>
  <si>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</si>
  <si>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</si>
  <si>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</si>
  <si>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</si>
  <si>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</si>
  <si>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</si>
  <si>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</si>
  <si>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</si>
  <si>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</si>
  <si>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</si>
  <si>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</si>
  <si>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</si>
  <si>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</si>
  <si>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</si>
  <si>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</si>
  <si>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</si>
  <si>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</si>
  <si>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</si>
  <si>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</si>
  <si>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</si>
  <si>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</si>
  <si>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</si>
  <si>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</si>
  <si>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</si>
  <si>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</si>
  <si>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</si>
  <si>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</si>
  <si>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</si>
  <si>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</si>
  <si>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</si>
  <si>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</si>
  <si>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</si>
  <si>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</si>
  <si>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</si>
  <si>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</si>
  <si>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</si>
  <si>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</si>
  <si>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</si>
  <si>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</si>
  <si>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</si>
  <si>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</si>
  <si>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</si>
  <si>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</si>
  <si>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</si>
  <si>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</si>
  <si>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</si>
  <si>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</si>
  <si>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</si>
  <si>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</si>
  <si>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</si>
  <si>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</si>
  <si>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</si>
  <si>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</si>
  <si>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</si>
  <si>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</si>
  <si>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</si>
  <si>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</si>
  <si>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</si>
  <si>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</si>
  <si>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</si>
  <si>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</si>
  <si>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</si>
  <si>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</si>
  <si>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</si>
  <si>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</si>
  <si>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</si>
  <si>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</si>
  <si>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</si>
  <si>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</si>
  <si>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</si>
  <si>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</si>
  <si>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</si>
  <si>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</si>
  <si>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</si>
  <si>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</si>
  <si>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</si>
  <si>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</si>
  <si>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</si>
  <si>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</si>
  <si>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</si>
  <si>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</si>
  <si>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</si>
  <si>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</si>
  <si>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</si>
  <si>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</si>
  <si>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</si>
  <si>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</si>
  <si>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</si>
  <si>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</si>
  <si>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</si>
  <si>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</si>
  <si>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</si>
  <si>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</si>
  <si>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</si>
  <si>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</si>
  <si>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</si>
  <si>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</si>
  <si>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</si>
  <si>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</si>
  <si>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</si>
  <si>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</si>
  <si>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</si>
  <si>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</si>
  <si>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</si>
  <si>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</si>
  <si>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</si>
  <si>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</si>
  <si>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</si>
  <si>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</si>
  <si>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</si>
  <si>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</si>
  <si>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</si>
  <si>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</si>
  <si>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</si>
  <si>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</si>
  <si>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</si>
  <si>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</si>
  <si>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</si>
  <si>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</si>
  <si>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</si>
  <si>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</si>
  <si>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</si>
  <si>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</si>
  <si>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</si>
  <si>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</si>
  <si>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</si>
  <si>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</si>
  <si>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</si>
  <si>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</si>
  <si>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</si>
  <si>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</si>
  <si>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</si>
  <si>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</si>
  <si>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</si>
  <si>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</si>
  <si>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</si>
  <si>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</si>
  <si>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</si>
  <si>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</si>
  <si>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</si>
  <si>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</si>
  <si>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</si>
  <si>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</si>
  <si>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</si>
  <si>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</si>
  <si>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</si>
  <si>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</si>
  <si>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</si>
  <si>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</si>
  <si>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</si>
  <si>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</si>
  <si>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</si>
  <si>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</si>
  <si>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</si>
  <si>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</si>
  <si>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</si>
  <si>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</si>
  <si>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</si>
  <si>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</si>
  <si>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</si>
  <si>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</si>
  <si>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</si>
  <si>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</si>
  <si>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</si>
  <si>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</si>
  <si>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</si>
  <si>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</si>
  <si>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</si>
  <si>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</si>
  <si>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</si>
  <si>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</si>
  <si>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</si>
  <si>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</si>
  <si>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</si>
  <si>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</si>
  <si>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</si>
  <si>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</si>
  <si>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</si>
  <si>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</si>
  <si>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</si>
  <si>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</si>
  <si>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</si>
  <si>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</si>
  <si>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</si>
  <si>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</si>
  <si>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</si>
  <si>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</si>
  <si>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</si>
  <si>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</si>
  <si>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</si>
  <si>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</si>
  <si>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</si>
  <si>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</si>
  <si>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</si>
  <si>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</si>
  <si>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</si>
  <si>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</si>
  <si>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</si>
  <si>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</si>
  <si>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</si>
  <si>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</si>
  <si>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</si>
  <si>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</si>
  <si>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</si>
  <si>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</si>
  <si>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</si>
  <si>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</si>
  <si>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</si>
  <si>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</si>
  <si>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</si>
  <si>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</si>
  <si>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</si>
  <si>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</si>
  <si>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</si>
  <si>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</si>
  <si>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</si>
  <si>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</si>
  <si>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</si>
  <si>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</si>
  <si>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</si>
  <si>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</si>
  <si>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</si>
  <si>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</si>
  <si>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</si>
  <si>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</si>
  <si>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</si>
  <si>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</si>
  <si>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</si>
  <si>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</si>
  <si>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</si>
  <si>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</si>
  <si>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</si>
  <si>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</si>
  <si>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</si>
  <si>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</si>
  <si>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</si>
  <si>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</si>
  <si>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</si>
  <si>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</si>
  <si>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</si>
  <si>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</si>
  <si>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</si>
  <si>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</si>
  <si>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</si>
  <si>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</si>
  <si>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</si>
  <si>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</si>
  <si>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</si>
  <si>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</si>
  <si>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</si>
  <si>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</si>
  <si>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</si>
  <si>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</si>
  <si>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</si>
  <si>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</si>
  <si>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</si>
  <si>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</si>
  <si>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</si>
  <si>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</si>
  <si>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</si>
  <si>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</si>
  <si>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</si>
  <si>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</si>
  <si>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</si>
  <si>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</si>
  <si>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</si>
  <si>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</si>
  <si>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</si>
  <si>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</si>
  <si>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</si>
  <si>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</si>
  <si>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</si>
  <si>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</si>
  <si>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</si>
  <si>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</si>
  <si>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</si>
  <si>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</si>
  <si>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</si>
  <si>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</si>
  <si>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</si>
  <si>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</si>
  <si>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</si>
  <si>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</si>
  <si>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</si>
  <si>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</si>
  <si>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</si>
  <si>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</si>
  <si>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</si>
  <si>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</si>
  <si>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</si>
  <si>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</si>
  <si>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</si>
  <si>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</si>
  <si>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</si>
  <si>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</si>
  <si>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</si>
  <si>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</si>
  <si>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</si>
  <si>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</si>
  <si>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</si>
  <si>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</si>
  <si>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</si>
  <si>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</si>
  <si>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</si>
  <si>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</si>
  <si>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</si>
  <si>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</si>
  <si>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</si>
  <si>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</si>
  <si>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</si>
  <si>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</si>
  <si>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</si>
  <si>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</si>
  <si>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</si>
  <si>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</si>
  <si>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</si>
  <si>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</si>
  <si>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</si>
  <si>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</si>
  <si>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</si>
  <si>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</si>
  <si>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</si>
  <si>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</si>
  <si>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</si>
  <si>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</si>
  <si>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</si>
  <si>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</si>
  <si>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</si>
  <si>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</si>
  <si>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</si>
  <si>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</si>
  <si>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</si>
  <si>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</si>
  <si>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</si>
  <si>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</si>
  <si>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</si>
  <si>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</si>
  <si>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</si>
  <si>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</si>
  <si>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</si>
  <si>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</si>
  <si>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</si>
  <si>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</si>
  <si>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</si>
  <si>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</si>
  <si>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</si>
  <si>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</si>
  <si>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</si>
  <si>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</si>
  <si>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</si>
  <si>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</si>
  <si>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</si>
  <si>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</si>
  <si>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</si>
  <si>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</si>
  <si>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</si>
  <si>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</si>
  <si>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</si>
  <si>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</si>
  <si>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</si>
  <si>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</si>
  <si>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</si>
  <si>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</si>
  <si>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</si>
  <si>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</si>
  <si>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</si>
  <si>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</si>
  <si>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</si>
  <si>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</si>
  <si>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</si>
  <si>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</si>
  <si>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</si>
  <si>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</si>
  <si>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</si>
  <si>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</si>
  <si>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</si>
  <si>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</si>
  <si>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</si>
  <si>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</si>
  <si>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</si>
  <si>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</si>
  <si>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</si>
  <si>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</si>
  <si>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</si>
  <si>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</si>
  <si>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</si>
  <si>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</si>
  <si>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</si>
  <si>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</si>
  <si>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</si>
  <si>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</si>
  <si>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</si>
  <si>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</si>
  <si>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</si>
  <si>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</si>
  <si>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</si>
  <si>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</si>
  <si>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</si>
  <si>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</si>
  <si>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</si>
  <si>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</si>
  <si>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</si>
  <si>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</si>
  <si>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</si>
  <si>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</si>
  <si>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</si>
  <si>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</si>
  <si>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</si>
  <si>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</si>
  <si>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</si>
  <si>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</si>
  <si>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</si>
  <si>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</si>
  <si>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</si>
  <si>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</si>
  <si>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</si>
  <si>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</si>
  <si>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</si>
  <si>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</si>
  <si>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</si>
  <si>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</si>
  <si>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</si>
  <si>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</si>
  <si>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</si>
  <si>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</si>
  <si>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</si>
  <si>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</si>
  <si>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</si>
  <si>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</si>
  <si>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</si>
  <si>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</si>
  <si>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</si>
  <si>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</si>
  <si>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</si>
  <si>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</si>
  <si>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</si>
  <si>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</si>
  <si>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</si>
  <si>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</si>
  <si>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</si>
  <si>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</si>
  <si>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</si>
  <si>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</si>
  <si>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</si>
  <si>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</si>
  <si>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</si>
  <si>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</si>
  <si>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</si>
  <si>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</si>
  <si>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</si>
  <si>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</si>
  <si>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</si>
  <si>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</si>
  <si>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</si>
  <si>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</si>
  <si>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</si>
  <si>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</si>
  <si>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</si>
  <si>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</si>
  <si>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</si>
  <si>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</si>
  <si>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</si>
  <si>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</si>
  <si>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</si>
  <si>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</si>
  <si>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</si>
  <si>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</si>
  <si>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</si>
  <si>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</si>
  <si>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</si>
  <si>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</si>
  <si>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</si>
  <si>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</si>
  <si>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</si>
  <si>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</si>
  <si>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</si>
  <si>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</si>
  <si>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</si>
  <si>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</si>
  <si>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</si>
  <si>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</si>
  <si>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</si>
  <si>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</si>
  <si>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</si>
  <si>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</si>
  <si>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</si>
  <si>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</si>
  <si>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</si>
  <si>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</si>
  <si>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</si>
  <si>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</si>
  <si>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</si>
  <si>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</si>
  <si>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</si>
  <si>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</si>
  <si>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</si>
  <si>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</si>
  <si>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</si>
  <si>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</si>
  <si>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</si>
  <si>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</si>
  <si>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</si>
  <si>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</si>
  <si>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</si>
  <si>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</si>
  <si>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</si>
  <si>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</si>
  <si>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</si>
  <si>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</si>
  <si>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</si>
  <si>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</si>
  <si>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</si>
  <si>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</si>
  <si>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</si>
  <si>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</si>
  <si>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</si>
  <si>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</si>
  <si>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</si>
  <si>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</si>
  <si>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</si>
  <si>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</si>
  <si>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</si>
  <si>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</si>
  <si>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</si>
  <si>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</si>
  <si>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</si>
  <si>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</si>
  <si>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</si>
  <si>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</si>
  <si>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</si>
  <si>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</si>
  <si>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</si>
  <si>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</si>
  <si>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</si>
  <si>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</si>
  <si>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</si>
  <si>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</si>
  <si>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</si>
  <si>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</si>
  <si>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</si>
  <si>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</si>
  <si>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</si>
  <si>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</si>
  <si>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</si>
  <si>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</si>
  <si>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</si>
  <si>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</si>
  <si>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</si>
  <si>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</si>
  <si>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</si>
  <si>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</si>
  <si>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</si>
  <si>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</si>
  <si>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</si>
  <si>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</si>
  <si>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</si>
  <si>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</si>
  <si>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</si>
  <si>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</si>
  <si>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</si>
  <si>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</si>
  <si>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</si>
  <si>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</si>
  <si>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</si>
  <si>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</si>
  <si>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</si>
  <si>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</si>
  <si>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</si>
  <si>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</si>
  <si>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</si>
  <si>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</si>
  <si>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</si>
  <si>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</si>
  <si>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</si>
  <si>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</si>
  <si>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</si>
  <si>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</si>
  <si>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</si>
  <si>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</si>
  <si>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</si>
  <si>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</si>
  <si>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</si>
  <si>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</si>
  <si>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</si>
  <si>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</si>
  <si>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</si>
  <si>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</si>
  <si>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</si>
  <si>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</si>
  <si>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</si>
  <si>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</si>
  <si>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</si>
  <si>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</si>
  <si>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</si>
  <si>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</si>
  <si>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</si>
  <si>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</si>
  <si>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</si>
  <si>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</si>
  <si>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</si>
  <si>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</si>
  <si>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</si>
  <si>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</si>
  <si>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</si>
  <si>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</si>
  <si>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</si>
  <si>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</si>
  <si>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</si>
  <si>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</si>
  <si>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</si>
  <si>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</si>
  <si>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</si>
  <si>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</si>
  <si>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</si>
  <si>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</si>
  <si>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</si>
  <si>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</si>
  <si>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</si>
  <si>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</si>
  <si>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</si>
  <si>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</si>
  <si>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</si>
  <si>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</si>
  <si>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</si>
  <si>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</si>
  <si>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</si>
  <si>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</si>
  <si>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</si>
  <si>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</si>
  <si>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</si>
  <si>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</si>
  <si>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</si>
  <si>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</si>
  <si>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</si>
  <si>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</si>
  <si>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</si>
  <si>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</si>
  <si>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</si>
  <si>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</si>
  <si>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</si>
  <si>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</si>
  <si>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</si>
  <si>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</si>
  <si>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</si>
  <si>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</si>
  <si>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</si>
  <si>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</si>
  <si>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</si>
  <si>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</si>
  <si>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</si>
  <si>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</si>
  <si>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</si>
  <si>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</si>
  <si>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</si>
  <si>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</si>
  <si>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</si>
  <si>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</si>
  <si>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</si>
  <si>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</si>
  <si>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</si>
  <si>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</si>
  <si>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</si>
  <si>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</si>
  <si>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</si>
  <si>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</si>
  <si>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</si>
  <si>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</si>
  <si>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</si>
  <si>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</si>
  <si>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</si>
  <si>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</si>
  <si>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</si>
  <si>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</si>
  <si>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</si>
  <si>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</si>
  <si>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</si>
  <si>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</si>
  <si>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</si>
  <si>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</si>
  <si>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</si>
  <si>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</si>
  <si>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</si>
  <si>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</si>
  <si>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</si>
  <si>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</si>
  <si>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</si>
  <si>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</si>
  <si>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</si>
  <si>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</si>
  <si>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</si>
  <si>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</si>
  <si>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</si>
  <si>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</si>
  <si>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</si>
  <si>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</si>
  <si>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</si>
  <si>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</si>
  <si>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</si>
  <si>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</si>
  <si>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</si>
  <si>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</si>
  <si>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</si>
  <si>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</si>
  <si>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</si>
  <si>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</si>
  <si>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</si>
  <si>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</si>
  <si>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</si>
  <si>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</si>
  <si>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</si>
  <si>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</si>
  <si>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</si>
  <si>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</si>
  <si>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</si>
  <si>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</si>
  <si>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</si>
  <si>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</si>
  <si>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</si>
  <si>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</si>
  <si>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</si>
  <si>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</si>
  <si>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</si>
  <si>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</si>
  <si>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</si>
  <si>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</si>
  <si>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</si>
  <si>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</si>
  <si>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</si>
  <si>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</si>
  <si>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</si>
  <si>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</si>
  <si>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</si>
  <si>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</si>
  <si>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</si>
  <si>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</si>
  <si>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</si>
  <si>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</si>
  <si>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</si>
  <si>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</si>
  <si>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</si>
  <si>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</si>
  <si>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</si>
  <si>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</si>
  <si>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</si>
  <si>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</si>
  <si>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</si>
  <si>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</si>
  <si>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</si>
  <si>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</si>
  <si>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</si>
  <si>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</si>
  <si>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</si>
  <si>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</si>
  <si>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</si>
  <si>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</si>
  <si>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</si>
  <si>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</si>
  <si>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</si>
  <si>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</si>
  <si>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</si>
  <si>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</si>
  <si>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</si>
  <si>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</si>
  <si>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</si>
  <si>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</si>
  <si>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</si>
  <si>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</si>
  <si>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</si>
  <si>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</si>
  <si>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</si>
  <si>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</si>
  <si>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</si>
  <si>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</si>
  <si>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</si>
  <si>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</si>
  <si>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</si>
  <si>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</si>
  <si>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</si>
  <si>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</si>
  <si>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</si>
  <si>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</si>
  <si>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</si>
  <si>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</si>
  <si>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</si>
  <si>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</si>
  <si>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</si>
  <si>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</si>
  <si>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</si>
  <si>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</si>
  <si>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</si>
  <si>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</si>
  <si>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</si>
  <si>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</si>
  <si>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</si>
  <si>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</si>
  <si>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</si>
  <si>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</si>
  <si>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</si>
  <si>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</si>
  <si>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</si>
  <si>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</si>
  <si>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</si>
  <si>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</si>
  <si>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</si>
  <si>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</si>
  <si>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</si>
  <si>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</si>
  <si>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</si>
  <si>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</si>
  <si>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</si>
  <si>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</si>
  <si>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</si>
  <si>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</si>
  <si>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</si>
  <si>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</si>
  <si>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</si>
  <si>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</si>
  <si>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</si>
  <si>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</si>
  <si>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</si>
  <si>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</si>
  <si>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</si>
  <si>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</si>
  <si>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</si>
  <si>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</si>
  <si>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</si>
  <si>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</si>
  <si>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</si>
  <si>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</si>
  <si>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</si>
  <si>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</si>
  <si>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</si>
  <si>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</si>
  <si>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</si>
  <si>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</si>
  <si>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</si>
  <si>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</si>
  <si>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</si>
  <si>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</si>
  <si>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</si>
  <si>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</si>
  <si>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</si>
  <si>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</si>
  <si>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</si>
  <si>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</si>
  <si>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</si>
  <si>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</si>
  <si>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</si>
  <si>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</si>
  <si>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</si>
  <si>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</si>
  <si>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</si>
  <si>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</si>
  <si>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</si>
  <si>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</si>
  <si>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</si>
  <si>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</si>
  <si>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</si>
  <si>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</si>
  <si>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</si>
  <si>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</si>
  <si>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</si>
  <si>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</si>
  <si>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</si>
  <si>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</si>
  <si>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</si>
  <si>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</si>
  <si>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</si>
  <si>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</si>
  <si>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</si>
  <si>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</si>
  <si>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</si>
  <si>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</si>
  <si>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</si>
  <si>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</si>
  <si>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</si>
  <si>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</si>
  <si>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</si>
  <si>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</si>
  <si>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</si>
  <si>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</si>
  <si>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</si>
  <si>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</si>
  <si>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</si>
  <si>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</si>
  <si>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</si>
  <si>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</si>
  <si>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</si>
  <si>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</si>
  <si>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</si>
  <si>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</si>
  <si>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</si>
  <si>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</si>
  <si>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</si>
  <si>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</si>
  <si>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</si>
  <si>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</si>
  <si>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</si>
  <si>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</si>
  <si>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</si>
  <si>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</si>
  <si>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</si>
  <si>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</si>
  <si>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</si>
  <si>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</si>
  <si>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</si>
  <si>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</si>
  <si>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</si>
  <si>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</si>
  <si>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</si>
  <si>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</si>
  <si>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</si>
  <si>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</si>
  <si>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</si>
  <si>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</si>
  <si>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</si>
  <si>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</si>
  <si>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</si>
  <si>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</si>
  <si>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</si>
  <si>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</si>
  <si>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</si>
  <si>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</si>
  <si>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</si>
  <si>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</si>
  <si>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</si>
  <si>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</si>
  <si>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</si>
  <si>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</si>
  <si>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</si>
  <si>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</si>
  <si>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</si>
  <si>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</si>
  <si>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</si>
  <si>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</si>
  <si>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</si>
  <si>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</si>
  <si>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</si>
  <si>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</si>
  <si>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</si>
  <si>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</si>
  <si>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</si>
  <si>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</si>
  <si>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</si>
  <si>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</si>
  <si>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</si>
  <si>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</si>
  <si>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</si>
  <si>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</si>
  <si>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</si>
  <si>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</si>
  <si>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</si>
  <si>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</si>
  <si>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</si>
  <si>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</si>
  <si>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</si>
  <si>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</si>
  <si>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</si>
  <si>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</si>
  <si>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</si>
  <si>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</si>
  <si>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</si>
  <si>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</si>
  <si>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</si>
  <si>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</si>
  <si>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</si>
  <si>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</si>
  <si>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</si>
  <si>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</si>
  <si>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</si>
  <si>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</si>
  <si>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</si>
  <si>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</si>
  <si>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</si>
  <si>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</si>
  <si>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</si>
  <si>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</si>
  <si>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</si>
  <si>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</si>
  <si>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</si>
  <si>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</si>
  <si>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</si>
  <si>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</si>
  <si>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</si>
  <si>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</si>
  <si>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</si>
  <si>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</si>
  <si>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</si>
  <si>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</si>
  <si>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</si>
  <si>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</si>
  <si>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</si>
  <si>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</si>
  <si>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</si>
  <si>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</si>
  <si>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</si>
  <si>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</si>
  <si>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</si>
  <si>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</si>
  <si>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</si>
  <si>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</si>
  <si>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</si>
  <si>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</si>
  <si>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</si>
  <si>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</si>
  <si>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</si>
  <si>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</si>
  <si>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</si>
  <si>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</si>
  <si>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</si>
  <si>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</si>
  <si>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</si>
  <si>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</si>
  <si>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</si>
  <si>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</si>
  <si>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</si>
  <si>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</si>
  <si>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</si>
  <si>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</si>
  <si>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</si>
  <si>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</si>
  <si>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</si>
  <si>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</si>
  <si>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</si>
  <si>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</si>
  <si>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</si>
  <si>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</si>
  <si>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</si>
  <si>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</si>
  <si>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</si>
  <si>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</si>
  <si>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</si>
  <si>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</si>
  <si>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</si>
  <si>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</si>
  <si>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</si>
  <si>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</si>
  <si>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</si>
  <si>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</si>
  <si>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</si>
  <si>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</si>
  <si>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</si>
  <si>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</si>
  <si>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</si>
  <si>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</si>
  <si>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</si>
  <si>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</si>
  <si>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</si>
  <si>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</si>
  <si>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</si>
  <si>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</si>
  <si>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</si>
  <si>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</si>
  <si>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</si>
  <si>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</si>
  <si>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</si>
  <si>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</si>
  <si>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</si>
  <si>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</si>
  <si>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</si>
  <si>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</si>
  <si>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</si>
  <si>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</si>
  <si>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</si>
  <si>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</si>
  <si>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</si>
  <si>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</si>
  <si>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</si>
  <si>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</si>
  <si>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</si>
  <si>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</si>
  <si>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</si>
  <si>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</si>
  <si>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</si>
  <si>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</si>
  <si>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</si>
  <si>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</si>
  <si>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</si>
  <si>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</si>
  <si>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</si>
  <si>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</si>
  <si>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</si>
  <si>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</si>
  <si>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</si>
  <si>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</si>
  <si>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</si>
  <si>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</si>
  <si>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</si>
  <si>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</si>
  <si>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</si>
  <si>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</si>
  <si>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</si>
  <si>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</si>
  <si>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</si>
  <si>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</si>
  <si>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</si>
  <si>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</si>
  <si>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</si>
  <si>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</si>
  <si>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</si>
  <si>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</si>
  <si>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</si>
  <si>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</si>
  <si>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</si>
  <si>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</si>
  <si>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</si>
  <si>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</si>
  <si>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</si>
  <si>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</si>
  <si>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</si>
  <si>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</si>
  <si>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</si>
  <si>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</si>
  <si>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</si>
  <si>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</si>
  <si>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</si>
  <si>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</si>
  <si>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</si>
  <si>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</si>
  <si>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</si>
  <si>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</si>
  <si>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</si>
  <si>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</si>
  <si>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</si>
  <si>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</si>
  <si>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</si>
  <si>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</si>
  <si>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</si>
  <si>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</si>
  <si>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</si>
  <si>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</si>
  <si>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</si>
  <si>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</si>
  <si>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</si>
  <si>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</si>
  <si>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</si>
  <si>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</si>
  <si>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</si>
  <si>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</si>
  <si>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</si>
  <si>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</si>
  <si>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</si>
  <si>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</si>
  <si>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</si>
  <si>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</si>
  <si>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</si>
  <si>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</si>
  <si>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</si>
  <si>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</si>
  <si>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</si>
  <si>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</si>
  <si>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</si>
  <si>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</si>
  <si>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</si>
  <si>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</si>
  <si>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</si>
  <si>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</si>
  <si>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</si>
  <si>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</si>
  <si>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</si>
  <si>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</si>
  <si>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</si>
  <si>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</si>
  <si>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</si>
  <si>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</si>
  <si>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</si>
  <si>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</si>
  <si>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</si>
  <si>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</si>
  <si>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</si>
  <si>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</si>
  <si>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</si>
  <si>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</si>
  <si>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</si>
  <si>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</si>
  <si>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</si>
  <si>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</si>
  <si>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</si>
  <si>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</si>
  <si>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</si>
  <si>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</si>
  <si>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</si>
  <si>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</si>
  <si>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</si>
  <si>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</si>
  <si>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</si>
  <si>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</si>
  <si>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</si>
  <si>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</si>
  <si>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</si>
  <si>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</si>
  <si>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</si>
  <si>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</si>
  <si>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</si>
  <si>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</si>
  <si>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</si>
  <si>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</si>
  <si>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</si>
  <si>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</si>
  <si>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</si>
  <si>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</si>
  <si>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</si>
  <si>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</si>
  <si>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</si>
  <si>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</si>
  <si>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</si>
  <si>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</si>
  <si>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</si>
  <si>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</si>
  <si>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</si>
  <si>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</si>
  <si>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</si>
  <si>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</si>
  <si>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</si>
  <si>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</si>
  <si>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</si>
  <si>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</si>
  <si>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</si>
  <si>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</si>
  <si>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</si>
  <si>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</si>
  <si>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</si>
  <si>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</si>
  <si>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</si>
  <si>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</si>
  <si>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</si>
  <si>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</si>
  <si>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</si>
  <si>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</si>
  <si>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</si>
  <si>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</si>
  <si>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</si>
  <si>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</si>
  <si>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</si>
  <si>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</si>
  <si>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</si>
  <si>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</si>
  <si>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</si>
  <si>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</si>
  <si>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</si>
  <si>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</si>
  <si>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</si>
  <si>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</si>
  <si>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</si>
  <si>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</si>
  <si>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</si>
  <si>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</si>
  <si>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</si>
  <si>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</si>
  <si>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</si>
  <si>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</si>
  <si>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</si>
  <si>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</si>
  <si>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</si>
  <si>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</si>
  <si>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</si>
  <si>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</si>
  <si>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</si>
  <si>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</si>
  <si>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</si>
  <si>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</si>
  <si>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</si>
  <si>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</si>
  <si>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</si>
  <si>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</si>
  <si>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</si>
  <si>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</si>
  <si>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</si>
  <si>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</si>
  <si>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</si>
  <si>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</si>
  <si>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</si>
  <si>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</si>
  <si>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</si>
  <si>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</si>
  <si>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</si>
  <si>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</si>
  <si>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</si>
  <si>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</si>
  <si>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</si>
  <si>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</si>
  <si>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</si>
  <si>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</si>
  <si>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</si>
  <si>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</si>
  <si>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</si>
  <si>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</si>
  <si>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</si>
  <si>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</si>
  <si>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</si>
  <si>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</si>
  <si>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</si>
  <si>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</si>
  <si>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</si>
  <si>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</si>
  <si>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</si>
  <si>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</si>
  <si>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</si>
  <si>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</si>
  <si>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</si>
  <si>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</si>
  <si>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</si>
  <si>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</si>
  <si>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</si>
  <si>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</si>
  <si>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</si>
  <si>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</si>
  <si>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</si>
  <si>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</si>
  <si>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</si>
  <si>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</si>
  <si>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</si>
  <si>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</si>
  <si>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</si>
  <si>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</si>
  <si>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</si>
  <si>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</si>
  <si>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</si>
  <si>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</si>
  <si>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</si>
  <si>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</si>
  <si>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</si>
  <si>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</si>
  <si>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</si>
  <si>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</si>
  <si>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</si>
  <si>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</si>
  <si>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</si>
  <si>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</si>
  <si>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</si>
  <si>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</si>
  <si>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</si>
  <si>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</si>
  <si>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</si>
  <si>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</si>
  <si>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</si>
  <si>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</si>
  <si>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</si>
  <si>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</si>
  <si>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</si>
  <si>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</si>
  <si>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</si>
  <si>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</si>
  <si>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</si>
  <si>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</si>
  <si>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</si>
  <si>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</si>
  <si>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</si>
  <si>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</si>
  <si>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</si>
  <si>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</si>
  <si>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</si>
  <si>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</si>
  <si>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</si>
  <si>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</si>
  <si>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</si>
  <si>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</si>
  <si>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</si>
  <si>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</si>
  <si>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</si>
  <si>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</si>
  <si>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</si>
  <si>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</si>
  <si>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</si>
  <si>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</si>
  <si>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</si>
  <si>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</si>
  <si>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</si>
  <si>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</si>
  <si>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</si>
  <si>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</si>
  <si>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</si>
  <si>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</si>
  <si>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</si>
  <si>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</si>
  <si>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</si>
  <si>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</si>
  <si>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</si>
  <si>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</si>
  <si>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</si>
  <si>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</si>
  <si>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</si>
  <si>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</si>
  <si>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</si>
  <si>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</si>
  <si>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</si>
  <si>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</si>
  <si>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</si>
  <si>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</si>
  <si>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</si>
  <si>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</si>
  <si>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</si>
  <si>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</si>
  <si>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</si>
  <si>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</si>
  <si>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</si>
  <si>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</si>
  <si>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</si>
  <si>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</si>
  <si>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</si>
  <si>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</si>
  <si>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</si>
  <si>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</si>
  <si>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</si>
  <si>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</si>
  <si>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</si>
  <si>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</si>
  <si>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</si>
  <si>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</si>
  <si>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</si>
  <si>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</si>
  <si>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</si>
  <si>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</si>
  <si>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</si>
  <si>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</si>
  <si>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</si>
  <si>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</si>
  <si>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</si>
  <si>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</si>
  <si>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</si>
  <si>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</si>
  <si>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</si>
  <si>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</si>
  <si>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</si>
  <si>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</si>
  <si>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</si>
  <si>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</si>
  <si>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</si>
  <si>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</si>
  <si>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</si>
  <si>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</si>
  <si>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</si>
  <si>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</si>
  <si>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</si>
  <si>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</si>
  <si>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</si>
  <si>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</si>
  <si>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</si>
  <si>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</si>
  <si>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</si>
  <si>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</si>
  <si>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</si>
  <si>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</si>
  <si>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</si>
  <si>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</si>
  <si>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</si>
  <si>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</si>
  <si>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</si>
  <si>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</si>
  <si>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</si>
  <si>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</si>
  <si>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</si>
  <si>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</si>
  <si>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</si>
  <si>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</si>
  <si>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</si>
  <si>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</si>
  <si>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</si>
  <si>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</si>
  <si>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</si>
  <si>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</si>
  <si>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</si>
  <si>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</si>
  <si>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</si>
  <si>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</si>
  <si>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</si>
  <si>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</si>
  <si>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</si>
  <si>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</si>
  <si>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</si>
  <si>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</si>
  <si>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</si>
  <si>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</si>
  <si>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</si>
  <si>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</si>
  <si>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</si>
  <si>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</si>
  <si>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</si>
  <si>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</si>
  <si>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</si>
  <si>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</si>
  <si>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</si>
  <si>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</si>
  <si>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</si>
  <si>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</si>
  <si>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</si>
  <si>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</si>
  <si>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</si>
  <si>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</si>
  <si>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</si>
  <si>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</si>
  <si>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</si>
  <si>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</si>
  <si>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</si>
  <si>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</si>
  <si>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</si>
  <si>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</si>
  <si>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</si>
  <si>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</si>
  <si>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</si>
  <si>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</si>
  <si>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</si>
  <si>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</si>
  <si>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</si>
  <si>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</si>
  <si>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</si>
  <si>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</si>
  <si>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</si>
  <si>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</si>
  <si>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</si>
  <si>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</si>
  <si>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</si>
  <si>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</si>
  <si>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</si>
  <si>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</si>
  <si>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</si>
  <si>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</si>
  <si>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</si>
  <si>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</si>
  <si>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</si>
  <si>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</si>
  <si>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</si>
  <si>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</si>
  <si>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</si>
  <si>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</si>
  <si>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</si>
  <si>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</si>
  <si>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</si>
  <si>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</si>
  <si>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</si>
  <si>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</si>
  <si>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</si>
  <si>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</si>
  <si>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</si>
  <si>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</si>
  <si>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</si>
  <si>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</si>
  <si>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</si>
  <si>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</si>
  <si>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</si>
  <si>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</si>
  <si>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</si>
  <si>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</si>
  <si>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</si>
  <si>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</si>
  <si>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</si>
  <si>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</si>
  <si>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</si>
  <si>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</si>
  <si>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</si>
  <si>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</si>
  <si>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</si>
  <si>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</si>
  <si>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</si>
  <si>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</si>
  <si>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</si>
  <si>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</si>
  <si>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</si>
  <si>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</si>
  <si>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</si>
  <si>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</si>
  <si>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</si>
  <si>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</si>
  <si>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</si>
  <si>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</si>
  <si>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</si>
  <si>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</si>
  <si>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</si>
  <si>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</si>
  <si>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</si>
  <si>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</si>
  <si>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</si>
  <si>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</si>
  <si>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</si>
  <si>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</si>
  <si>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</si>
  <si>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</si>
  <si>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</si>
  <si>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</si>
  <si>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</si>
  <si>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</si>
  <si>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</si>
  <si>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</si>
  <si>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</si>
  <si>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</si>
  <si>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</si>
  <si>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</si>
  <si>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</si>
  <si>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</si>
  <si>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</si>
  <si>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</si>
  <si>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</si>
  <si>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</si>
  <si>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</si>
  <si>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</si>
  <si>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</si>
  <si>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</si>
  <si>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</si>
  <si>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</si>
  <si>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</si>
  <si>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</si>
  <si>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</si>
  <si>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</si>
  <si>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</si>
  <si>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</si>
  <si>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</si>
  <si>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</si>
  <si>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</si>
  <si>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</si>
  <si>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</si>
  <si>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</si>
  <si>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</si>
  <si>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</si>
  <si>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</si>
  <si>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</si>
  <si>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</si>
  <si>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</si>
  <si>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</si>
  <si>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</si>
  <si>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</si>
  <si>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</si>
  <si>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</si>
  <si>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</si>
  <si>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</si>
  <si>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</si>
  <si>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</si>
  <si>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</si>
  <si>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</si>
  <si>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</si>
  <si>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</si>
  <si>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</si>
  <si>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</si>
  <si>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</si>
  <si>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</si>
  <si>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</si>
  <si>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</si>
  <si>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</si>
  <si>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</si>
  <si>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</si>
  <si>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</si>
  <si>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</si>
  <si>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</si>
  <si>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</si>
  <si>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</si>
  <si>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</si>
  <si>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</si>
  <si>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</si>
  <si>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</si>
  <si>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</si>
  <si>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</si>
  <si>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</si>
  <si>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</si>
  <si>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</si>
  <si>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</si>
  <si>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</si>
  <si>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</si>
  <si>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</si>
  <si>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</si>
  <si>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</si>
  <si>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</si>
  <si>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</si>
  <si>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</si>
  <si>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</si>
  <si>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</si>
  <si>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</si>
  <si>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</si>
  <si>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</si>
  <si>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</si>
  <si>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</si>
  <si>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</si>
  <si>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</si>
  <si>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</si>
  <si>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</si>
  <si>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</si>
  <si>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</si>
  <si>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</si>
  <si>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</si>
  <si>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</si>
  <si>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</si>
  <si>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</si>
  <si>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</si>
  <si>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</si>
  <si>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</si>
  <si>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</si>
  <si>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</si>
  <si>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</si>
  <si>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</si>
  <si>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</si>
  <si>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</si>
  <si>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</si>
  <si>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</si>
  <si>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</si>
  <si>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</si>
  <si>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</si>
  <si>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</si>
  <si>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</si>
  <si>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</si>
  <si>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</si>
  <si>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</si>
  <si>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</si>
  <si>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</si>
  <si>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</si>
  <si>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</si>
  <si>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</si>
  <si>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</si>
  <si>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</si>
  <si>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</si>
  <si>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</si>
  <si>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</si>
  <si>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</si>
  <si>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</si>
  <si>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</si>
  <si>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</si>
  <si>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</si>
  <si>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</si>
  <si>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</si>
  <si>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</si>
  <si>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</si>
  <si>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</si>
  <si>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</si>
  <si>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</si>
  <si>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</si>
  <si>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</si>
  <si>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</si>
  <si>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</si>
  <si>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</si>
  <si>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</si>
  <si>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</si>
  <si>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</si>
  <si>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</si>
  <si>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</si>
  <si>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</si>
  <si>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</si>
  <si>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</si>
  <si>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</si>
  <si>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</si>
  <si>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</si>
  <si>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</si>
  <si>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</si>
  <si>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</si>
  <si>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</si>
  <si>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</si>
  <si>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</si>
  <si>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</si>
  <si>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</si>
  <si>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</si>
  <si>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</si>
  <si>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</si>
  <si>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</si>
  <si>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</si>
  <si>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</si>
  <si>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</si>
  <si>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</si>
  <si>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</si>
  <si>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</si>
  <si>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</si>
  <si>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</si>
  <si>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</si>
  <si>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</si>
  <si>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</si>
  <si>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</si>
  <si>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</si>
  <si>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</si>
  <si>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</si>
  <si>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</si>
  <si>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</si>
  <si>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</si>
  <si>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</si>
  <si>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</si>
  <si>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</si>
  <si>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</si>
  <si>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</si>
  <si>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</si>
  <si>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</si>
  <si>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</si>
  <si>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</si>
  <si>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</si>
  <si>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</si>
  <si>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</si>
  <si>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</si>
  <si>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</si>
  <si>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</si>
  <si>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</si>
  <si>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</si>
  <si>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</si>
  <si>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</si>
  <si>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</si>
  <si>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</si>
  <si>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</si>
  <si>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</si>
  <si>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</si>
  <si>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</si>
  <si>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</si>
  <si>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</si>
  <si>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</si>
  <si>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</si>
  <si>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</si>
  <si>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</si>
  <si>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</si>
  <si>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</si>
  <si>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</si>
  <si>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</si>
  <si>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</si>
  <si>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</si>
  <si>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</si>
  <si>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</si>
  <si>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</si>
  <si>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</si>
  <si>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</si>
  <si>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</si>
  <si>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</si>
  <si>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</si>
  <si>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</si>
  <si>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</si>
  <si>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</si>
  <si>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</si>
  <si>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</si>
  <si>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</si>
  <si>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</si>
  <si>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</si>
  <si>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</si>
  <si>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</si>
  <si>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</si>
  <si>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</si>
  <si>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</si>
  <si>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</si>
  <si>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</si>
  <si>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</si>
  <si>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</si>
  <si>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</si>
  <si>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</si>
  <si>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</si>
  <si>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</si>
  <si>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</si>
  <si>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</si>
  <si>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</si>
  <si>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</si>
  <si>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</si>
  <si>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</si>
  <si>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</si>
  <si>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</si>
  <si>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</si>
  <si>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</si>
  <si>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</si>
  <si>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</si>
  <si>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</si>
  <si>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</si>
  <si>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</si>
  <si>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</si>
  <si>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</si>
  <si>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</si>
  <si>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</si>
  <si>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</si>
  <si>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</si>
  <si>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</si>
  <si>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</si>
  <si>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</si>
  <si>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</si>
  <si>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</si>
  <si>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</si>
  <si>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</si>
  <si>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</si>
  <si>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</si>
  <si>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</si>
  <si>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</si>
  <si>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</si>
  <si>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</si>
  <si>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</si>
  <si>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</si>
  <si>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</si>
  <si>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</si>
  <si>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</si>
  <si>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</si>
  <si>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</si>
  <si>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</si>
  <si>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</si>
  <si>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</si>
  <si>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</si>
  <si>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</si>
  <si>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</si>
  <si>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</si>
  <si>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</si>
  <si>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</si>
  <si>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</si>
  <si>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</si>
  <si>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</si>
  <si>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</si>
  <si>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</si>
  <si>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</si>
  <si>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</si>
  <si>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</si>
  <si>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</si>
  <si>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</si>
  <si>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</si>
  <si>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</si>
  <si>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</si>
  <si>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</si>
  <si>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</si>
  <si>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</si>
  <si>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</si>
  <si>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</si>
  <si>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</si>
  <si>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</si>
  <si>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</si>
  <si>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</si>
  <si>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</si>
  <si>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</si>
  <si>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</si>
  <si>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</si>
  <si>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</si>
  <si>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</si>
  <si>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</si>
  <si>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</si>
  <si>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</si>
  <si>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</si>
  <si>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</si>
  <si>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</si>
  <si>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</si>
  <si>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</si>
  <si>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</si>
  <si>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</si>
  <si>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</si>
  <si>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</si>
  <si>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</si>
  <si>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</si>
  <si>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</si>
  <si>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</si>
  <si>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</si>
  <si>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</si>
  <si>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</si>
  <si>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</si>
  <si>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</si>
  <si>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</si>
  <si>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</si>
  <si>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</si>
  <si>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</si>
  <si>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</si>
  <si>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</si>
  <si>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</si>
  <si>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</si>
  <si>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</si>
  <si>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</si>
  <si>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</si>
  <si>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</si>
  <si>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</si>
  <si>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</si>
  <si>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</si>
  <si>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</si>
  <si>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</si>
  <si>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</si>
  <si>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</si>
  <si>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</si>
  <si>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</si>
  <si>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</si>
  <si>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</si>
  <si>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</si>
  <si>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</si>
  <si>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</si>
  <si>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</si>
  <si>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</si>
  <si>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</si>
  <si>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</si>
  <si>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</si>
  <si>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</si>
  <si>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</si>
  <si>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</si>
  <si>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</si>
  <si>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</si>
  <si>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</si>
  <si>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</si>
  <si>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</si>
  <si>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</si>
  <si>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</si>
  <si>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</si>
  <si>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</si>
  <si>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</si>
  <si>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</si>
  <si>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</si>
  <si>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</si>
  <si>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</si>
  <si>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</si>
  <si>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</si>
  <si>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</si>
  <si>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</si>
  <si>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</si>
  <si>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</si>
  <si>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</si>
  <si>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</si>
  <si>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</si>
  <si>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</si>
  <si>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</si>
  <si>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</si>
  <si>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</si>
  <si>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</si>
  <si>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</si>
  <si>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</si>
  <si>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</si>
  <si>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</si>
  <si>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</si>
  <si>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</si>
  <si>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</si>
  <si>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</si>
  <si>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</si>
  <si>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</si>
  <si>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</si>
  <si>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</si>
  <si>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</si>
  <si>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</si>
  <si>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</si>
  <si>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</si>
  <si>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</si>
  <si>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</si>
  <si>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</si>
  <si>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</si>
  <si>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</si>
  <si>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</si>
  <si>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</si>
  <si>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</si>
  <si>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</si>
  <si>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</si>
  <si>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</si>
  <si>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</si>
  <si>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</si>
  <si>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</si>
  <si>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</si>
  <si>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</si>
  <si>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</si>
  <si>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</si>
  <si>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</si>
  <si>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</si>
  <si>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</si>
  <si>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</si>
  <si>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</si>
  <si>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</si>
  <si>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</si>
  <si>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</si>
  <si>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</si>
  <si>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</si>
  <si>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</si>
  <si>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</si>
  <si>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</si>
  <si>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</si>
  <si>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</si>
  <si>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</si>
  <si>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</si>
  <si>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</si>
  <si>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</si>
  <si>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</si>
  <si>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</si>
  <si>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</si>
  <si>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</si>
  <si>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</si>
  <si>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</si>
  <si>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</si>
  <si>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</si>
  <si>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</si>
  <si>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</si>
  <si>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</si>
  <si>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</si>
  <si>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</si>
  <si>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</si>
  <si>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</si>
  <si>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</si>
  <si>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</si>
  <si>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</si>
  <si>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</si>
  <si>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</si>
  <si>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</si>
  <si>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</si>
  <si>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</si>
  <si>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</si>
  <si>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</si>
  <si>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</si>
  <si>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</si>
  <si>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</si>
  <si>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</si>
  <si>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</si>
  <si>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</si>
  <si>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</si>
  <si>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</si>
  <si>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</si>
  <si>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</si>
  <si>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</si>
  <si>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</si>
  <si>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</si>
  <si>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</si>
  <si>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</si>
  <si>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</si>
  <si>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</si>
  <si>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</si>
  <si>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</si>
  <si>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</si>
  <si>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</si>
  <si>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</si>
  <si>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</si>
  <si>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</si>
  <si>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</si>
  <si>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</si>
  <si>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</si>
  <si>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</si>
  <si>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</si>
  <si>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</si>
  <si>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</si>
  <si>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</si>
  <si>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</si>
  <si>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</si>
  <si>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</si>
  <si>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</si>
  <si>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</si>
  <si>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</si>
  <si>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</si>
  <si>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</si>
  <si>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</si>
  <si>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</si>
  <si>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</si>
  <si>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</si>
  <si>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</si>
  <si>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</si>
  <si>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</si>
  <si>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</si>
  <si>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</si>
  <si>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</si>
  <si>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</si>
  <si>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</si>
  <si>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</si>
  <si>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</si>
  <si>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</si>
  <si>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</si>
  <si>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</si>
  <si>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</si>
  <si>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</si>
  <si>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</si>
  <si>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</si>
  <si>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</si>
  <si>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</si>
  <si>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</si>
  <si>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</si>
  <si>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</si>
  <si>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</si>
  <si>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</si>
  <si>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</si>
  <si>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</si>
  <si>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</si>
  <si>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</si>
  <si>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</si>
  <si>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</si>
  <si>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</si>
  <si>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</si>
  <si>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</si>
  <si>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</si>
  <si>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</si>
  <si>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</si>
  <si>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</si>
  <si>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</si>
  <si>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</si>
  <si>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</si>
  <si>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</si>
  <si>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</si>
  <si>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</si>
  <si>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</si>
  <si>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</si>
  <si>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</si>
  <si>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</si>
  <si>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</si>
  <si>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</si>
  <si>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</si>
  <si>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</si>
  <si>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</si>
  <si>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</si>
  <si>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</si>
  <si>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</si>
  <si>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</si>
  <si>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</si>
  <si>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</si>
  <si>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</si>
  <si>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</si>
  <si>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</si>
  <si>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</si>
  <si>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</si>
  <si>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</si>
  <si>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</si>
  <si>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</si>
  <si>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</si>
  <si>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</si>
  <si>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</si>
  <si>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</si>
  <si>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</si>
  <si>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</si>
  <si>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</si>
  <si>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</si>
  <si>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</si>
  <si>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</si>
  <si>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</si>
  <si>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</si>
  <si>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</si>
  <si>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</si>
  <si>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</si>
  <si>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</si>
  <si>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</si>
  <si>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</si>
  <si>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</si>
  <si>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</si>
  <si>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</si>
  <si>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</si>
  <si>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</si>
  <si>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</si>
  <si>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</si>
  <si>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</si>
  <si>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</si>
  <si>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</si>
  <si>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</si>
  <si>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</si>
  <si>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</si>
  <si>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</si>
  <si>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</si>
  <si>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</si>
  <si>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</si>
  <si>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</si>
  <si>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</si>
  <si>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</si>
  <si>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</si>
  <si>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</si>
  <si>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</si>
  <si>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</si>
  <si>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</si>
  <si>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</si>
  <si>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</si>
  <si>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</si>
  <si>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</si>
  <si>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</si>
  <si>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</si>
  <si>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</si>
  <si>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</si>
  <si>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</si>
  <si>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</si>
  <si>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</si>
  <si>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</si>
  <si>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</si>
  <si>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</si>
  <si>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</si>
  <si>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</si>
  <si>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</si>
  <si>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</si>
  <si>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</si>
  <si>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</si>
  <si>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</si>
  <si>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</si>
  <si>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</si>
  <si>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</si>
  <si>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</si>
  <si>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</si>
  <si>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</si>
  <si>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</si>
  <si>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</si>
  <si>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</si>
  <si>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</si>
  <si>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</si>
  <si>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</si>
  <si>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</si>
  <si>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</si>
  <si>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</si>
  <si>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</si>
  <si>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</si>
  <si>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</si>
  <si>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</si>
  <si>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</si>
  <si>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</si>
  <si>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</si>
  <si>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</si>
  <si>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</si>
  <si>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</si>
  <si>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</si>
  <si>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</si>
  <si>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</si>
  <si>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</si>
  <si>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</si>
  <si>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</si>
  <si>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</si>
  <si>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</si>
  <si>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</si>
  <si>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</si>
  <si>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</si>
  <si>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</si>
  <si>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</si>
  <si>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</si>
  <si>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</si>
  <si>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</si>
  <si>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</si>
  <si>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</si>
  <si>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</si>
  <si>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</si>
  <si>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</si>
  <si>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</si>
  <si>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</si>
  <si>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</si>
  <si>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</si>
  <si>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</si>
  <si>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</si>
  <si>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</si>
  <si>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</si>
  <si>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</si>
  <si>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</si>
  <si>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</si>
  <si>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</si>
  <si>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</si>
  <si>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</si>
  <si>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</si>
  <si>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</si>
  <si>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</si>
  <si>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</si>
  <si>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</si>
  <si>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</si>
  <si>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</si>
  <si>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</si>
  <si>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</si>
  <si>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</si>
  <si>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</si>
  <si>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</si>
  <si>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</si>
  <si>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</si>
  <si>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</si>
  <si>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</si>
  <si>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</si>
  <si>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</si>
  <si>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</si>
  <si>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</si>
  <si>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</si>
  <si>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</si>
  <si>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</si>
  <si>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</si>
  <si>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</si>
  <si>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</si>
  <si>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</si>
  <si>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</si>
  <si>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</si>
  <si>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</si>
  <si>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</si>
  <si>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</si>
  <si>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</si>
  <si>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</si>
  <si>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</si>
  <si>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</si>
  <si>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</si>
  <si>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</si>
  <si>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</si>
  <si>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</si>
  <si>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</si>
  <si>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</si>
  <si>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</si>
  <si>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</si>
  <si>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</si>
  <si>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</si>
  <si>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</si>
  <si>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</si>
  <si>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</si>
  <si>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</si>
  <si>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</si>
  <si>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</si>
  <si>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</si>
  <si>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</si>
  <si>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</si>
  <si>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</si>
  <si>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</si>
  <si>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</si>
  <si>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</si>
  <si>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</si>
  <si>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</si>
  <si>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</si>
  <si>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</si>
  <si>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</si>
  <si>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</si>
  <si>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</si>
  <si>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</si>
  <si>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</si>
  <si>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</si>
  <si>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</si>
  <si>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</si>
  <si>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</si>
  <si>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</si>
  <si>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</si>
  <si>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</si>
  <si>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</si>
  <si>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</si>
  <si>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</si>
  <si>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</si>
  <si>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</si>
  <si>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</si>
  <si>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</si>
  <si>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</si>
  <si>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</si>
  <si>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</si>
  <si>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</si>
  <si>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</si>
  <si>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</si>
  <si>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</si>
  <si>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</si>
  <si>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</si>
  <si>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</si>
  <si>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</si>
  <si>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</si>
  <si>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</si>
  <si>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</si>
  <si>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</si>
  <si>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</si>
  <si>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</si>
  <si>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</si>
  <si>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</si>
  <si>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</si>
  <si>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</si>
  <si>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</si>
  <si>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</si>
  <si>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</si>
  <si>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</si>
  <si>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</si>
  <si>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</si>
  <si>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</si>
  <si>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</si>
  <si>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</si>
  <si>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</si>
  <si>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</si>
  <si>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</si>
  <si>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</si>
  <si>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</si>
  <si>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</si>
  <si>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</si>
  <si>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</si>
  <si>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</si>
  <si>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</si>
  <si>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</si>
  <si>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</si>
  <si>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</si>
  <si>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</si>
  <si>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</si>
  <si>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</si>
  <si>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</si>
  <si>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</si>
  <si>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</si>
  <si>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</si>
  <si>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</si>
  <si>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</si>
  <si>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</si>
  <si>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</si>
  <si>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</si>
  <si>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</si>
  <si>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</si>
  <si>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</si>
  <si>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</si>
  <si>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</si>
  <si>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</si>
  <si>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</si>
  <si>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</si>
  <si>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</si>
  <si>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</si>
  <si>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</si>
  <si>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</si>
  <si>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</si>
  <si>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</si>
  <si>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</si>
  <si>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</si>
  <si>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</si>
  <si>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</si>
  <si>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</si>
  <si>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</si>
  <si>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</si>
  <si>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</si>
  <si>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</si>
  <si>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</si>
  <si>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</si>
  <si>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</si>
  <si>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</si>
  <si>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</si>
  <si>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</si>
  <si>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</si>
  <si>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</si>
  <si>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</si>
  <si>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</si>
  <si>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</si>
  <si>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</si>
  <si>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</si>
  <si>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</si>
  <si>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</si>
  <si>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</si>
  <si>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</si>
  <si>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</si>
  <si>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</si>
  <si>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</si>
  <si>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</si>
  <si>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</si>
  <si>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</si>
  <si>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</si>
  <si>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</si>
  <si>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</si>
  <si>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</si>
  <si>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</si>
  <si>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</si>
  <si>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</si>
  <si>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</si>
  <si>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</si>
  <si>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</si>
  <si>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</si>
  <si>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</si>
  <si>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</si>
  <si>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</si>
  <si>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</si>
  <si>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</si>
  <si>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</si>
  <si>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</si>
  <si>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</si>
  <si>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</si>
  <si>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</si>
  <si>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</si>
  <si>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</si>
  <si>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</si>
  <si>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</si>
  <si>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</si>
  <si>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</si>
  <si>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</si>
  <si>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</si>
  <si>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</si>
  <si>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</si>
  <si>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</si>
  <si>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</si>
  <si>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</si>
  <si>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</si>
  <si>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</si>
  <si>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</si>
  <si>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</si>
  <si>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</si>
  <si>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</si>
  <si>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</si>
  <si>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</si>
  <si>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</si>
  <si>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</si>
  <si>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</si>
  <si>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</si>
  <si>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</si>
  <si>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</si>
  <si>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</si>
  <si>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</si>
  <si>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</si>
  <si>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</si>
  <si>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</si>
  <si>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</si>
  <si>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</si>
  <si>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</si>
  <si>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</si>
  <si>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</si>
  <si>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</si>
  <si>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</si>
  <si>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</si>
  <si>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</si>
  <si>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</si>
  <si>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</si>
  <si>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</si>
  <si>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</si>
  <si>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</si>
  <si>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</si>
  <si>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</si>
  <si>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</si>
  <si>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</si>
  <si>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</si>
  <si>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</si>
  <si>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</si>
  <si>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</si>
  <si>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</si>
  <si>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</si>
  <si>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</si>
  <si>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</si>
  <si>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</si>
  <si>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</si>
  <si>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</si>
  <si>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</si>
  <si>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</si>
  <si>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</si>
  <si>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</si>
  <si>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</si>
  <si>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</si>
  <si>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</si>
  <si>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</si>
  <si>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</si>
  <si>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</si>
  <si>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</si>
  <si>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</si>
  <si>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</si>
  <si>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</si>
  <si>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</si>
  <si>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</si>
  <si>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</si>
  <si>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</si>
  <si>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</si>
  <si>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</si>
  <si>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</si>
  <si>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</si>
  <si>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</si>
  <si>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</si>
  <si>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</si>
  <si>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</si>
  <si>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</si>
  <si>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</si>
  <si>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</si>
  <si>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</si>
  <si>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</si>
  <si>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</si>
  <si>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</si>
  <si>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</si>
  <si>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</si>
  <si>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</si>
  <si>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</si>
  <si>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</si>
  <si>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</si>
  <si>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</si>
  <si>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</si>
  <si>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</si>
  <si>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</si>
  <si>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</si>
  <si>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</si>
  <si>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</si>
  <si>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</si>
  <si>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</si>
  <si>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</si>
  <si>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</si>
  <si>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</si>
  <si>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</si>
  <si>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</si>
  <si>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</si>
  <si>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</si>
  <si>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</si>
  <si>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</si>
  <si>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</si>
  <si>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</si>
  <si>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</si>
  <si>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</si>
  <si>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</si>
  <si>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</si>
  <si>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</si>
  <si>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</si>
  <si>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</si>
  <si>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</si>
  <si>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</si>
  <si>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</si>
  <si>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</si>
  <si>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</si>
  <si>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</si>
  <si>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</si>
  <si>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</si>
  <si>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</si>
  <si>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</si>
  <si>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</si>
  <si>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</si>
  <si>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</si>
  <si>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</si>
  <si>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</si>
  <si>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</si>
  <si>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</si>
  <si>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</si>
  <si>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</si>
  <si>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</si>
  <si>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</si>
  <si>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</si>
  <si>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</si>
  <si>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</si>
  <si>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</si>
  <si>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</si>
  <si>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</si>
  <si>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</si>
  <si>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</si>
  <si>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</si>
  <si>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</si>
  <si>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</si>
  <si>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</si>
  <si>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</si>
  <si>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</si>
  <si>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</si>
  <si>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</si>
  <si>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</si>
  <si>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</si>
  <si>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</si>
  <si>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</si>
  <si>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</si>
  <si>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</si>
  <si>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</si>
  <si>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</si>
  <si>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</si>
  <si>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</si>
  <si>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</si>
  <si>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</si>
  <si>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</si>
  <si>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</si>
  <si>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</si>
  <si>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</si>
  <si>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</si>
  <si>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</si>
  <si>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</si>
  <si>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</si>
  <si>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</si>
  <si>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</si>
  <si>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</si>
  <si>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</si>
  <si>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</si>
  <si>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</si>
  <si>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</si>
  <si>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</si>
  <si>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</si>
  <si>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</si>
  <si>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</si>
  <si>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</si>
  <si>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</si>
  <si>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</si>
  <si>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</si>
  <si>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</si>
  <si>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</si>
  <si>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</si>
  <si>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</si>
  <si>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</si>
  <si>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</si>
  <si>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</si>
  <si>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</si>
  <si>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</si>
  <si>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</si>
  <si>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</si>
  <si>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</si>
  <si>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</si>
  <si>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</si>
  <si>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</si>
  <si>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</si>
  <si>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</si>
  <si>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</si>
  <si>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</si>
  <si>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</si>
  <si>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</si>
  <si>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</si>
  <si>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</si>
  <si>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</si>
  <si>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</si>
  <si>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</si>
  <si>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</si>
  <si>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</si>
  <si>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</si>
  <si>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</si>
  <si>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</si>
  <si>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</si>
  <si>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</si>
  <si>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</si>
  <si>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</si>
  <si>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</si>
  <si>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</si>
  <si>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</si>
  <si>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</si>
  <si>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</si>
  <si>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</si>
  <si>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</si>
  <si>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</si>
  <si>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</si>
  <si>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</si>
  <si>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</si>
  <si>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</si>
  <si>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</si>
  <si>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</si>
  <si>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</si>
  <si>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</si>
  <si>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</si>
  <si>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</si>
  <si>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</si>
  <si>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</si>
  <si>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</si>
  <si>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</si>
  <si>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</si>
  <si>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</si>
  <si>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</si>
  <si>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</si>
  <si>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</si>
  <si>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</si>
  <si>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</si>
  <si>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</si>
  <si>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</si>
  <si>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</si>
  <si>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</si>
  <si>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</si>
  <si>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</si>
  <si>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</si>
  <si>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</si>
  <si>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</si>
  <si>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</si>
  <si>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</si>
  <si>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</si>
  <si>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</si>
  <si>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</si>
  <si>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</si>
  <si>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</si>
  <si>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</si>
  <si>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</si>
  <si>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</si>
  <si>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</si>
  <si>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</si>
  <si>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</si>
  <si>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</si>
  <si>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</si>
  <si>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</si>
  <si>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</si>
  <si>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</si>
  <si>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</si>
  <si>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</si>
  <si>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</si>
  <si>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</si>
  <si>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</si>
  <si>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</si>
  <si>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</si>
  <si>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</si>
  <si>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</si>
  <si>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</si>
  <si>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</si>
  <si>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</si>
  <si>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</si>
  <si>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</si>
  <si>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</si>
  <si>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</si>
  <si>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</si>
  <si>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</si>
  <si>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</si>
  <si>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</si>
  <si>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</si>
  <si>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</si>
  <si>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</si>
  <si>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</si>
  <si>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</si>
  <si>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</si>
  <si>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</si>
  <si>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</si>
  <si>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</si>
  <si>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</si>
  <si>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</si>
  <si>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</si>
  <si>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</si>
  <si>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</si>
  <si>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</si>
  <si>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</si>
  <si>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</si>
  <si>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</si>
  <si>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</si>
  <si>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</si>
  <si>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</si>
  <si>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</si>
  <si>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</si>
  <si>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</si>
  <si>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</si>
  <si>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</si>
  <si>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</si>
  <si>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</si>
  <si>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</si>
  <si>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</si>
  <si>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</si>
  <si>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</si>
  <si>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</si>
  <si>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</si>
  <si>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</si>
  <si>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</si>
  <si>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</si>
  <si>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</si>
  <si>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</si>
  <si>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</si>
  <si>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</si>
  <si>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</si>
  <si>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</si>
  <si>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</si>
  <si>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</si>
  <si>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</si>
  <si>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</si>
  <si>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</si>
  <si>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</si>
  <si>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</si>
  <si>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</si>
  <si>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</si>
  <si>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</si>
  <si>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</si>
  <si>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</si>
  <si>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</si>
  <si>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</si>
  <si>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</si>
  <si>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</si>
  <si>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</si>
  <si>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</si>
  <si>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</si>
  <si>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</si>
  <si>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</si>
  <si>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</si>
  <si>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</si>
  <si>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</si>
  <si>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</si>
  <si>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</si>
  <si>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</si>
  <si>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</si>
  <si>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</si>
  <si>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</si>
  <si>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</si>
  <si>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</si>
  <si>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</si>
  <si>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</si>
  <si>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</si>
  <si>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</si>
  <si>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</si>
  <si>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</si>
  <si>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</si>
  <si>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</si>
  <si>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</si>
  <si>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</si>
  <si>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</si>
  <si>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</si>
  <si>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</si>
  <si>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</si>
  <si>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</si>
  <si>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</si>
  <si>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</si>
  <si>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</si>
  <si>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</si>
  <si>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</si>
  <si>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</si>
  <si>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</si>
  <si>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</si>
  <si>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</si>
  <si>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</si>
  <si>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</si>
  <si>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</si>
  <si>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</si>
  <si>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</si>
  <si>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</si>
  <si>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</si>
  <si>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</si>
  <si>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</si>
  <si>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</si>
  <si>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</si>
  <si>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</si>
  <si>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</si>
  <si>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</si>
  <si>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</si>
  <si>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</si>
  <si>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</si>
  <si>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</si>
  <si>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</si>
  <si>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</si>
  <si>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</si>
  <si>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</si>
  <si>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</si>
  <si>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</si>
  <si>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</si>
  <si>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</si>
  <si>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</si>
  <si>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</si>
  <si>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</si>
  <si>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</si>
  <si>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</si>
  <si>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</si>
  <si>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</si>
  <si>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</si>
  <si>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</si>
  <si>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</si>
  <si>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</si>
  <si>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</si>
  <si>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</si>
  <si>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</si>
  <si>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</si>
  <si>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</si>
  <si>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</si>
  <si>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</si>
  <si>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</si>
  <si>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</si>
  <si>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</si>
  <si>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</si>
  <si>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</si>
  <si>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</si>
  <si>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</si>
  <si>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</si>
  <si>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</si>
  <si>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</si>
  <si>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</si>
  <si>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</si>
  <si>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</si>
  <si>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</si>
  <si>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</si>
  <si>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</si>
  <si>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</si>
  <si>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</si>
  <si>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</si>
  <si>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</si>
  <si>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</si>
  <si>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</si>
  <si>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</si>
  <si>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</si>
  <si>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</si>
  <si>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</si>
  <si>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</si>
  <si>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</si>
  <si>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</si>
  <si>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</si>
  <si>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</si>
  <si>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</si>
  <si>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</si>
  <si>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</si>
  <si>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</si>
  <si>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</si>
  <si>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</si>
  <si>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</si>
  <si>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</si>
  <si>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</si>
  <si>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</si>
  <si>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</si>
  <si>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</si>
  <si>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</si>
  <si>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</si>
  <si>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</si>
  <si>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</si>
  <si>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</si>
  <si>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</si>
  <si>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</si>
  <si>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</si>
  <si>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</si>
  <si>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</si>
  <si>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</si>
  <si>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</si>
  <si>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</si>
  <si>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</si>
  <si>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</si>
  <si>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</si>
  <si>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</si>
  <si>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</si>
  <si>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</si>
  <si>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</si>
  <si>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</si>
  <si>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</si>
  <si>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</si>
  <si>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</si>
  <si>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</si>
  <si>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</si>
  <si>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</si>
  <si>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</si>
  <si>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</si>
  <si>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</si>
  <si>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</si>
  <si>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</si>
  <si>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</si>
  <si>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</si>
  <si>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</si>
  <si>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</si>
  <si>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</si>
  <si>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</si>
  <si>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</si>
  <si>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</si>
  <si>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</si>
  <si>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</si>
  <si>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</si>
  <si>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</si>
  <si>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</si>
  <si>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</si>
  <si>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</si>
  <si>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</si>
  <si>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</si>
  <si>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</si>
  <si>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</si>
  <si>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</si>
  <si>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</si>
  <si>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</si>
  <si>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</si>
  <si>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</si>
  <si>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</si>
  <si>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</si>
  <si>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</si>
  <si>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</si>
  <si>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</si>
  <si>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</si>
  <si>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</si>
  <si>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</si>
  <si>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</si>
  <si>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</si>
  <si>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</si>
  <si>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</si>
  <si>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</si>
  <si>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</si>
  <si>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</si>
  <si>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</si>
  <si>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</si>
  <si>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</si>
  <si>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</si>
  <si>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</si>
  <si>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</si>
  <si>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</si>
  <si>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</si>
  <si>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</si>
  <si>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</si>
  <si>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</si>
  <si>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</si>
  <si>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</si>
  <si>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</si>
  <si>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</si>
  <si>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</si>
  <si>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</si>
  <si>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</si>
  <si>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</si>
  <si>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</si>
  <si>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</si>
  <si>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</si>
  <si>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</si>
  <si>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</si>
  <si>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</si>
  <si>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</si>
  <si>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</si>
  <si>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</si>
  <si>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</si>
  <si>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</si>
  <si>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</si>
  <si>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</si>
  <si>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</si>
  <si>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</si>
  <si>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</si>
  <si>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</si>
  <si>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</si>
  <si>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</si>
  <si>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</si>
  <si>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</si>
  <si>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</si>
  <si>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</si>
  <si>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</si>
  <si>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</si>
  <si>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</si>
  <si>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</si>
  <si>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</si>
  <si>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</si>
  <si>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</si>
  <si>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</si>
  <si>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</si>
  <si>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</si>
  <si>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</si>
  <si>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</si>
  <si>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</si>
  <si>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</si>
  <si>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</si>
  <si>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</si>
  <si>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</si>
  <si>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</si>
  <si>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</si>
  <si>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</si>
  <si>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</si>
  <si>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</si>
  <si>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</si>
  <si>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</si>
  <si>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</si>
  <si>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</si>
  <si>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</si>
  <si>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</si>
  <si>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</si>
  <si>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</si>
  <si>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</si>
  <si>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</si>
  <si>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</si>
  <si>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</si>
  <si>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</si>
  <si>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</si>
  <si>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</si>
  <si>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</si>
  <si>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</si>
  <si>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</si>
  <si>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</si>
  <si>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</si>
  <si>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</si>
  <si>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</si>
  <si>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</si>
  <si>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</si>
  <si>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</si>
  <si>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</si>
  <si>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</si>
  <si>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</si>
  <si>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</si>
  <si>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</si>
  <si>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</si>
  <si>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</si>
  <si>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</si>
  <si>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</si>
  <si>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</si>
  <si>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</si>
  <si>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</si>
  <si>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</si>
  <si>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</si>
  <si>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</si>
  <si>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</si>
  <si>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</si>
  <si>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</si>
  <si>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</si>
  <si>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</si>
  <si>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</si>
  <si>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</si>
  <si>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</si>
  <si>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</si>
  <si>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</si>
  <si>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</si>
  <si>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</si>
  <si>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</si>
  <si>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</si>
  <si>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</si>
  <si>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</si>
  <si>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</si>
  <si>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</si>
  <si>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</si>
  <si>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</si>
  <si>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</si>
  <si>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</si>
  <si>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</si>
  <si>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</si>
  <si>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</si>
  <si>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</si>
  <si>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</si>
  <si>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</si>
  <si>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</si>
  <si>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</si>
  <si>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</si>
  <si>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</si>
  <si>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</si>
  <si>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</si>
  <si>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</si>
  <si>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</si>
  <si>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</si>
  <si>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</si>
  <si>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</si>
  <si>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</si>
  <si>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</si>
  <si>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</si>
  <si>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</si>
  <si>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</si>
  <si>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</si>
  <si>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</si>
  <si>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</si>
  <si>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</si>
  <si>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</si>
  <si>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</si>
  <si>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</si>
  <si>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</si>
  <si>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</si>
  <si>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</si>
  <si>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</si>
  <si>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</si>
  <si>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</si>
  <si>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</si>
  <si>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</si>
  <si>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</si>
  <si>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</si>
  <si>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</si>
  <si>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</si>
  <si>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</si>
  <si>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</si>
  <si>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</si>
  <si>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</si>
  <si>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</si>
  <si>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</si>
  <si>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</si>
  <si>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</si>
  <si>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</si>
  <si>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</si>
  <si>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</si>
  <si>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</si>
  <si>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</si>
  <si>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</si>
  <si>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</si>
  <si>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</si>
  <si>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</si>
  <si>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</si>
  <si>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</si>
  <si>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</si>
  <si>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</si>
  <si>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</si>
  <si>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</si>
  <si>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</si>
  <si>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</si>
  <si>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</si>
  <si>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</si>
  <si>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</si>
  <si>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</si>
  <si>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</si>
  <si>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</si>
  <si>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</si>
  <si>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</si>
  <si>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</si>
  <si>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</si>
  <si>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</si>
  <si>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</si>
  <si>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</si>
  <si>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</si>
  <si>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</si>
  <si>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</si>
  <si>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</si>
  <si>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</si>
  <si>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</si>
  <si>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</si>
  <si>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</si>
  <si>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</si>
  <si>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</si>
  <si>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</si>
  <si>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</si>
  <si>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</si>
  <si>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</si>
  <si>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</si>
  <si>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</si>
  <si>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</si>
  <si>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</si>
  <si>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</si>
  <si>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</si>
  <si>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</si>
  <si>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</si>
  <si>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</si>
  <si>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</si>
  <si>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</si>
  <si>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</si>
  <si>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</si>
  <si>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</si>
  <si>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</si>
  <si>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</si>
  <si>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</si>
  <si>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</si>
  <si>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</si>
  <si>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</si>
  <si>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</si>
  <si>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</si>
  <si>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</si>
  <si>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</si>
  <si>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</si>
  <si>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</si>
  <si>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</si>
  <si>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</si>
  <si>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</si>
  <si>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</si>
  <si>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</si>
  <si>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</si>
  <si>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</si>
  <si>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</si>
  <si>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</si>
  <si>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</si>
  <si>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</si>
  <si>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</si>
  <si>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</si>
  <si>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</si>
  <si>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</si>
  <si>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</si>
  <si>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</si>
  <si>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</si>
  <si>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</si>
  <si>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</si>
  <si>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</si>
  <si>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</si>
  <si>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</si>
  <si>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</si>
  <si>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</si>
  <si>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</si>
  <si>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</si>
  <si>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</si>
  <si>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</si>
  <si>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</si>
  <si>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</si>
  <si>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</si>
  <si>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</si>
  <si>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</si>
  <si>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</si>
  <si>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</si>
  <si>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</si>
  <si>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</si>
  <si>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</si>
  <si>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</si>
  <si>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</si>
  <si>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</si>
  <si>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</si>
  <si>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</si>
  <si>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</si>
  <si>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</si>
  <si>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</si>
  <si>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</si>
  <si>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</si>
  <si>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</si>
  <si>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</si>
  <si>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</si>
  <si>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</si>
  <si>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</si>
  <si>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</si>
  <si>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</si>
  <si>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</si>
  <si>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</si>
  <si>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</si>
  <si>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</si>
  <si>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</si>
  <si>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</si>
  <si>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</si>
  <si>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</si>
  <si>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</si>
  <si>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</si>
  <si>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</si>
  <si>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</si>
  <si>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</si>
  <si>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</si>
  <si>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</si>
  <si>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</si>
  <si>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</si>
  <si>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</si>
  <si>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</si>
  <si>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</si>
  <si>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</si>
  <si>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</si>
  <si>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</si>
  <si>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</si>
  <si>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</si>
  <si>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</si>
  <si>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</si>
  <si>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</si>
  <si>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</si>
  <si>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</si>
  <si>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</si>
  <si>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</si>
  <si>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</si>
  <si>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</si>
  <si>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</si>
  <si>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</si>
  <si>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</si>
  <si>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</si>
  <si>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</si>
  <si>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</si>
  <si>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</si>
  <si>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</si>
  <si>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</si>
  <si>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</si>
  <si>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</si>
  <si>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</si>
  <si>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</si>
  <si>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</si>
  <si>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</si>
  <si>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</si>
  <si>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</si>
  <si>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</si>
  <si>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</si>
  <si>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</si>
  <si>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</si>
  <si>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</si>
  <si>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</si>
  <si>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</si>
  <si>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</si>
  <si>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</si>
  <si>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</si>
  <si>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</si>
  <si>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</si>
  <si>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</si>
  <si>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</si>
  <si>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</si>
  <si>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</si>
  <si>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</si>
  <si>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</si>
  <si>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</si>
  <si>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</si>
  <si>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</si>
  <si>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</si>
  <si>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</si>
  <si>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</si>
  <si>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</si>
  <si>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</si>
  <si>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</si>
  <si>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</si>
  <si>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</si>
  <si>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</si>
  <si>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</si>
  <si>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</si>
  <si>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</si>
  <si>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</si>
  <si>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</si>
  <si>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</si>
  <si>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</si>
  <si>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</si>
  <si>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</si>
  <si>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</si>
  <si>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</si>
  <si>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</si>
  <si>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</si>
  <si>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</si>
  <si>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</si>
  <si>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</si>
  <si>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</si>
  <si>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</si>
  <si>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</si>
  <si>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</si>
  <si>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</si>
  <si>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</si>
  <si>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</si>
  <si>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</si>
  <si>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</si>
  <si>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</si>
  <si>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</si>
  <si>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</si>
  <si>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</si>
  <si>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</si>
  <si>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</si>
  <si>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</si>
  <si>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</si>
  <si>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</si>
  <si>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</si>
  <si>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</si>
  <si>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</si>
  <si>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</si>
  <si>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</si>
  <si>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</si>
  <si>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</si>
  <si>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</si>
  <si>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</si>
  <si>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</si>
  <si>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</si>
  <si>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</si>
  <si>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</si>
  <si>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</si>
  <si>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</si>
  <si>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</si>
  <si>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</si>
  <si>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</si>
  <si>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</si>
  <si>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</si>
  <si>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</si>
  <si>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</si>
  <si>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</si>
  <si>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</si>
  <si>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</si>
  <si>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</si>
  <si>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</si>
  <si>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</si>
  <si>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</si>
  <si>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</si>
  <si>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</si>
  <si>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</si>
  <si>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</si>
  <si>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</si>
  <si>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</si>
  <si>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</si>
  <si>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</si>
  <si>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</si>
  <si>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</si>
  <si>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</si>
  <si>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</si>
  <si>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</si>
  <si>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</si>
  <si>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</si>
  <si>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</si>
  <si>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</si>
  <si>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</si>
  <si>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</si>
  <si>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</si>
  <si>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</si>
  <si>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</si>
  <si>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</si>
  <si>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</si>
  <si>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</si>
  <si>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</si>
  <si>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</si>
  <si>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</si>
  <si>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</si>
  <si>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</si>
  <si>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</si>
  <si>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</si>
  <si>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</si>
  <si>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</si>
  <si>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</si>
  <si>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</si>
  <si>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</si>
  <si>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</si>
  <si>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</si>
  <si>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</si>
  <si>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</si>
  <si>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</si>
  <si>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</si>
  <si>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</si>
  <si>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</si>
  <si>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</si>
  <si>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</si>
  <si>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</si>
  <si>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</si>
  <si>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</si>
  <si>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</si>
  <si>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</si>
  <si>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</si>
  <si>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</si>
  <si>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</si>
  <si>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</si>
  <si>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</si>
  <si>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</si>
  <si>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</si>
  <si>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</si>
  <si>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</si>
  <si>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</si>
  <si>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</si>
  <si>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</si>
  <si>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</si>
  <si>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</si>
  <si>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</si>
  <si>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</si>
  <si>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</si>
  <si>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</si>
  <si>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</si>
  <si>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</si>
  <si>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</si>
  <si>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</si>
  <si>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</si>
  <si>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</si>
  <si>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</si>
  <si>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</si>
  <si>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</si>
  <si>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</si>
  <si>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</si>
  <si>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</si>
  <si>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</si>
  <si>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</si>
  <si>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</si>
  <si>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</si>
  <si>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</si>
  <si>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</si>
  <si>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</si>
  <si>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</si>
  <si>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</si>
  <si>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</si>
  <si>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</si>
  <si>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</si>
  <si>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</si>
  <si>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</si>
  <si>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</si>
  <si>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</si>
  <si>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</si>
  <si>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</si>
  <si>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</si>
  <si>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</si>
  <si>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</si>
  <si>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</si>
  <si>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</si>
  <si>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</si>
  <si>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</si>
  <si>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</si>
  <si>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</si>
  <si>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</si>
  <si>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</si>
  <si>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</si>
  <si>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</si>
  <si>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</si>
  <si>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</si>
  <si>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</si>
  <si>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</si>
  <si>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</si>
  <si>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</si>
  <si>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</si>
  <si>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</si>
  <si>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</si>
  <si>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</si>
  <si>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</si>
  <si>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</si>
  <si>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</si>
  <si>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</si>
  <si>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</si>
  <si>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</si>
  <si>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</si>
  <si>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</si>
  <si>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</si>
  <si>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</si>
  <si>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</si>
  <si>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</si>
  <si>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</si>
  <si>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</si>
  <si>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</si>
  <si>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</si>
  <si>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</si>
  <si>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</si>
  <si>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</si>
  <si>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</si>
  <si>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</si>
  <si>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</si>
  <si>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</si>
  <si>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</si>
  <si>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</si>
  <si>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</si>
  <si>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</si>
  <si>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</si>
  <si>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</si>
  <si>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</si>
  <si>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</si>
  <si>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</si>
  <si>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</si>
  <si>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</si>
  <si>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</si>
  <si>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</si>
  <si>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</si>
  <si>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</si>
  <si>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</si>
  <si>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</si>
  <si>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</si>
  <si>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</si>
  <si>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</si>
  <si>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</si>
  <si>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</si>
  <si>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</si>
  <si>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</si>
  <si>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</si>
  <si>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</si>
  <si>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</si>
  <si>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</si>
  <si>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</si>
  <si>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</si>
  <si>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</si>
  <si>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</si>
  <si>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</si>
  <si>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</si>
  <si>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</si>
  <si>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</si>
  <si>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</si>
  <si>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</si>
  <si>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</si>
  <si>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</si>
  <si>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</si>
  <si>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</si>
  <si>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</si>
  <si>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</si>
  <si>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</si>
  <si>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</si>
  <si>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</si>
  <si>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</si>
  <si>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</si>
  <si>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</si>
  <si>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</si>
  <si>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</si>
  <si>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</si>
  <si>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</si>
  <si>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</si>
  <si>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</si>
  <si>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</si>
  <si>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</si>
  <si>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</si>
  <si>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</si>
  <si>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</si>
  <si>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</si>
  <si>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</si>
  <si>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</si>
  <si>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</si>
  <si>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</si>
  <si>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</si>
  <si>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</si>
  <si>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</si>
  <si>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</si>
  <si>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</si>
  <si>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</si>
  <si>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</si>
  <si>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</si>
  <si>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</si>
  <si>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</si>
  <si>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</si>
  <si>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</si>
  <si>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</si>
  <si>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</si>
  <si>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</si>
  <si>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</si>
  <si>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</si>
  <si>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</si>
  <si>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</si>
  <si>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</si>
  <si>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</si>
  <si>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</si>
  <si>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</si>
  <si>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</si>
  <si>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</si>
  <si>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</si>
  <si>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</si>
  <si>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</si>
  <si>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</si>
  <si>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</si>
  <si>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</si>
  <si>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</si>
  <si>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</si>
  <si>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</si>
  <si>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</si>
  <si>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</si>
  <si>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</si>
  <si>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</si>
  <si>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</si>
  <si>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</si>
  <si>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</si>
  <si>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</si>
  <si>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</si>
  <si>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</si>
  <si>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</si>
  <si>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</si>
  <si>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</si>
  <si>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</si>
  <si>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</si>
  <si>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</si>
  <si>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</si>
  <si>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</si>
  <si>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</si>
  <si>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</si>
  <si>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</si>
  <si>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</si>
  <si>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</si>
  <si>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</si>
  <si>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</si>
  <si>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</si>
  <si>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</si>
  <si>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</si>
  <si>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</si>
  <si>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</si>
  <si>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</si>
  <si>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</si>
  <si>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</si>
  <si>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</si>
  <si>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</si>
  <si>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</si>
  <si>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</si>
  <si>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</si>
  <si>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</si>
  <si>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</si>
  <si>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</si>
  <si>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</si>
  <si>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</si>
  <si>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</si>
  <si>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</si>
  <si>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</si>
  <si>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</si>
  <si>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</si>
  <si>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</si>
  <si>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</si>
  <si>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</si>
  <si>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</si>
  <si>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</si>
  <si>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</si>
  <si>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</si>
  <si>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</si>
  <si>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</si>
  <si>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</si>
  <si>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</si>
  <si>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</si>
  <si>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</si>
  <si>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</si>
  <si>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</si>
  <si>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</si>
  <si>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</si>
  <si>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</si>
  <si>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</si>
  <si>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</si>
  <si>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</si>
  <si>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</si>
  <si>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</si>
  <si>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</si>
  <si>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</si>
  <si>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</si>
  <si>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</si>
  <si>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</si>
  <si>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</si>
  <si>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</si>
  <si>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</si>
  <si>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</si>
  <si>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</si>
  <si>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</si>
  <si>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</si>
  <si>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</si>
  <si>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</si>
  <si>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</si>
  <si>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</si>
  <si>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</si>
  <si>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</si>
  <si>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</si>
  <si>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</si>
  <si>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</si>
  <si>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</si>
  <si>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</si>
  <si>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</si>
  <si>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</si>
  <si>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</si>
  <si>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</si>
  <si>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</si>
  <si>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</si>
  <si>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</si>
  <si>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</si>
  <si>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</si>
  <si>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</si>
  <si>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</si>
  <si>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</si>
  <si>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</si>
  <si>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</si>
  <si>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</si>
  <si>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</si>
  <si>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</si>
  <si>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</si>
  <si>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</si>
  <si>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</si>
  <si>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</si>
  <si>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</si>
  <si>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</si>
  <si>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</si>
  <si>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</si>
  <si>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</si>
  <si>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</si>
  <si>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</si>
  <si>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</si>
  <si>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</si>
  <si>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</si>
  <si>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</si>
  <si>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</si>
  <si>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</si>
  <si>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</si>
  <si>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</si>
  <si>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</si>
  <si>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</si>
  <si>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</si>
  <si>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</si>
  <si>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</si>
  <si>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</si>
  <si>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</si>
  <si>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</si>
  <si>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</si>
  <si>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</si>
  <si>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</si>
  <si>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</si>
  <si>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</si>
  <si>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</si>
  <si>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</si>
  <si>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</si>
  <si>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</si>
  <si>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</si>
  <si>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</si>
  <si>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</si>
  <si>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</si>
  <si>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</si>
  <si>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</si>
  <si>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</si>
  <si>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</si>
  <si>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</si>
  <si>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</si>
  <si>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</si>
  <si>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</si>
  <si>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</si>
  <si>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</si>
  <si>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</si>
  <si>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</si>
  <si>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</si>
  <si>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</si>
  <si>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</si>
  <si>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</si>
  <si>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</si>
  <si>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</si>
  <si>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</si>
  <si>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</si>
  <si>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</si>
  <si>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</si>
  <si>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</si>
  <si>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</si>
  <si>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</si>
  <si>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</si>
  <si>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</si>
  <si>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</si>
  <si>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</si>
  <si>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</si>
  <si>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</si>
  <si>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</si>
  <si>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</si>
  <si>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</si>
  <si>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</si>
  <si>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</si>
  <si>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</si>
  <si>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</si>
  <si>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</si>
  <si>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</si>
  <si>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</si>
  <si>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</si>
  <si>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</si>
  <si>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</si>
  <si>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</si>
  <si>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</si>
  <si>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</si>
  <si>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</si>
  <si>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</si>
  <si>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</si>
  <si>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</si>
  <si>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</si>
  <si>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</si>
  <si>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</si>
  <si>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</si>
  <si>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</si>
  <si>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</si>
  <si>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</si>
  <si>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</si>
  <si>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</si>
  <si>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</si>
  <si>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</si>
  <si>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</si>
  <si>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</si>
  <si>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</si>
  <si>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</si>
  <si>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</si>
  <si>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</si>
  <si>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</si>
  <si>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</si>
  <si>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</si>
  <si>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</si>
  <si>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</si>
  <si>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</si>
  <si>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</si>
  <si>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</si>
  <si>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</si>
  <si>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</si>
  <si>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</si>
  <si>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</si>
  <si>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</si>
  <si>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</si>
  <si>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</si>
  <si>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</si>
  <si>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</si>
  <si>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</si>
  <si>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</si>
  <si>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</si>
  <si>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</si>
  <si>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</si>
  <si>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</si>
  <si>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</si>
  <si>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</si>
  <si>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</si>
  <si>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</si>
  <si>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</si>
  <si>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</si>
  <si>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</si>
  <si>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</si>
  <si>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</si>
  <si>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</si>
  <si>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</si>
  <si>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</si>
  <si>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</si>
  <si>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</si>
  <si>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</si>
  <si>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</si>
  <si>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</si>
  <si>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</si>
  <si>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</si>
  <si>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</si>
  <si>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</si>
  <si>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</si>
  <si>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</si>
  <si>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</si>
  <si>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</si>
  <si>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</si>
  <si>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</si>
  <si>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</si>
  <si>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</si>
  <si>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</si>
  <si>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</si>
  <si>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</si>
  <si>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</si>
  <si>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</si>
  <si>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</si>
  <si>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</si>
  <si>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</si>
  <si>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</si>
  <si>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</si>
  <si>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</si>
  <si>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</si>
  <si>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</si>
  <si>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</si>
  <si>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</si>
  <si>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</si>
  <si>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</si>
  <si>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</si>
  <si>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</si>
  <si>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</si>
  <si>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</si>
  <si>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</si>
  <si>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</si>
  <si>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</si>
  <si>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</si>
  <si>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</si>
  <si>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</si>
  <si>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</si>
  <si>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</si>
  <si>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</si>
  <si>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</si>
  <si>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</si>
  <si>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</si>
  <si>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</si>
  <si>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</si>
  <si>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</si>
  <si>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</si>
  <si>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</si>
  <si>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</si>
  <si>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</si>
  <si>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</si>
  <si>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</si>
  <si>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</si>
  <si>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</si>
  <si>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</si>
  <si>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</si>
  <si>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</si>
  <si>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</si>
  <si>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</si>
  <si>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</si>
  <si>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</si>
  <si>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</si>
  <si>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</si>
  <si>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</si>
  <si>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</si>
  <si>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</si>
  <si>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</si>
  <si>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</si>
  <si>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</si>
  <si>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</si>
  <si>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</si>
  <si>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</si>
  <si>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</si>
  <si>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</si>
  <si>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</si>
  <si>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</si>
  <si>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</si>
  <si>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</si>
  <si>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</si>
  <si>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</si>
  <si>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</si>
  <si>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</si>
  <si>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</si>
  <si>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</si>
  <si>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</si>
  <si>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</si>
  <si>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</si>
  <si>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</si>
  <si>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</si>
  <si>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</si>
  <si>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</si>
  <si>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</si>
  <si>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</si>
  <si>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</si>
  <si>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</si>
  <si>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</si>
  <si>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</si>
  <si>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</si>
  <si>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</si>
  <si>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</si>
  <si>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</si>
  <si>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</si>
  <si>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</si>
  <si>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</si>
  <si>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</si>
  <si>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</si>
  <si>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</si>
  <si>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</si>
  <si>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</si>
  <si>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</si>
  <si>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</si>
  <si>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</si>
  <si>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</si>
  <si>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</si>
  <si>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</si>
  <si>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</si>
  <si>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</si>
  <si>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</si>
  <si>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</si>
  <si>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</si>
  <si>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</si>
  <si>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</si>
  <si>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</si>
  <si>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</si>
  <si>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</si>
  <si>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</si>
  <si>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</si>
  <si>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</si>
  <si>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</si>
  <si>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</si>
  <si>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</si>
  <si>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</si>
  <si>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</si>
  <si>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</si>
  <si>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</si>
  <si>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</si>
  <si>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</si>
  <si>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</si>
  <si>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</si>
  <si>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</si>
  <si>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</si>
  <si>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</si>
  <si>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</si>
  <si>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</si>
  <si>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</si>
  <si>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</si>
  <si>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</si>
  <si>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</si>
  <si>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</si>
  <si>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</si>
  <si>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</si>
  <si>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</si>
  <si>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</si>
  <si>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</si>
  <si>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</si>
  <si>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</si>
  <si>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</si>
  <si>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</si>
  <si>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</si>
  <si>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</si>
  <si>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</si>
  <si>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</si>
  <si>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</si>
  <si>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</si>
  <si>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</si>
  <si>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</si>
  <si>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</si>
  <si>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</si>
  <si>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</si>
  <si>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</si>
  <si>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</si>
  <si>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</si>
  <si>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</si>
  <si>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</si>
  <si>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</si>
  <si>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</si>
  <si>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</si>
  <si>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</si>
  <si>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</si>
  <si>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</si>
  <si>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</si>
  <si>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</si>
  <si>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</si>
  <si>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</si>
  <si>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</si>
  <si>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</si>
  <si>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</si>
  <si>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</si>
  <si>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</si>
  <si>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</si>
  <si>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</si>
  <si>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</si>
  <si>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</si>
  <si>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</si>
  <si>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</si>
  <si>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</si>
  <si>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</si>
  <si>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</si>
  <si>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</si>
  <si>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</si>
  <si>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</si>
  <si>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</si>
  <si>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</si>
  <si>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</si>
  <si>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</si>
  <si>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</si>
  <si>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</si>
  <si>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</si>
  <si>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</si>
  <si>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</si>
  <si>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</si>
  <si>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</si>
  <si>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</si>
  <si>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</si>
  <si>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</si>
  <si>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</si>
  <si>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</si>
  <si>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</si>
  <si>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</si>
  <si>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</si>
  <si>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</si>
  <si>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</si>
  <si>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</si>
  <si>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</si>
  <si>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</si>
  <si>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</si>
  <si>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</si>
  <si>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</si>
  <si>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</si>
  <si>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</si>
  <si>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</si>
  <si>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</si>
  <si>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</si>
  <si>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</si>
  <si>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</si>
  <si>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</si>
  <si>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</si>
  <si>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</si>
  <si>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</si>
  <si>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</si>
  <si>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</si>
  <si>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</si>
  <si>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</si>
  <si>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</si>
  <si>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</si>
  <si>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</si>
  <si>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</si>
  <si>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</si>
  <si>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</si>
  <si>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</si>
  <si>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</si>
  <si>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</si>
  <si>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</si>
  <si>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</si>
  <si>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</si>
  <si>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</si>
  <si>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</si>
  <si>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</si>
  <si>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</si>
  <si>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</si>
  <si>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</si>
  <si>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</si>
  <si>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</si>
  <si>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</si>
  <si>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</si>
  <si>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</si>
  <si>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</si>
  <si>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</si>
  <si>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</si>
  <si>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</si>
  <si>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</si>
  <si>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</si>
  <si>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</si>
  <si>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</si>
  <si>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</si>
  <si>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</si>
  <si>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</si>
  <si>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</si>
  <si>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</si>
  <si>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</si>
  <si>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</si>
  <si>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</si>
  <si>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</si>
  <si>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</si>
  <si>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</si>
  <si>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</si>
  <si>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</si>
  <si>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</si>
  <si>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</si>
  <si>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</si>
  <si>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</si>
  <si>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</si>
  <si>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</si>
  <si>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</si>
  <si>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</si>
  <si>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</si>
  <si>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</si>
  <si>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</si>
  <si>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</si>
  <si>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</si>
  <si>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</si>
  <si>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</si>
  <si>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</si>
  <si>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</si>
  <si>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</si>
  <si>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</si>
  <si>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</si>
  <si>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</si>
  <si>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</si>
  <si>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</si>
  <si>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</si>
  <si>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</si>
  <si>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</si>
  <si>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</si>
  <si>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</si>
  <si>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</si>
  <si>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</si>
  <si>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</si>
  <si>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</si>
  <si>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</si>
  <si>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</si>
  <si>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</si>
  <si>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</si>
  <si>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</si>
  <si>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</si>
  <si>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</si>
  <si>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</si>
  <si>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</si>
  <si>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</si>
  <si>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</si>
  <si>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</si>
  <si>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</si>
  <si>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</si>
  <si>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</si>
  <si>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</si>
  <si>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</si>
  <si>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</si>
  <si>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</si>
  <si>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</si>
  <si>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</si>
  <si>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</si>
  <si>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</si>
  <si>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</si>
  <si>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</si>
  <si>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</si>
  <si>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</si>
  <si>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</si>
  <si>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</si>
  <si>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</si>
  <si>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</si>
  <si>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</si>
  <si>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</si>
  <si>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</si>
  <si>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</si>
  <si>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</si>
  <si>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</si>
  <si>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</si>
  <si>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</si>
  <si>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</si>
  <si>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</si>
  <si>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</si>
  <si>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</si>
  <si>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</si>
  <si>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</si>
  <si>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</si>
  <si>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</si>
  <si>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</si>
  <si>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</si>
  <si>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</si>
  <si>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</si>
  <si>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</si>
  <si>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</si>
  <si>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</si>
  <si>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</si>
  <si>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</si>
  <si>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</si>
  <si>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</si>
  <si>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</si>
  <si>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</si>
  <si>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</si>
  <si>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</si>
  <si>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</si>
  <si>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</si>
  <si>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</si>
  <si>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</si>
  <si>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</si>
  <si>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</si>
  <si>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</si>
  <si>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</si>
  <si>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</si>
  <si>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</si>
  <si>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</si>
  <si>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</si>
  <si>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</si>
  <si>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</si>
  <si>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</si>
  <si>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</si>
  <si>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</si>
  <si>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</si>
  <si>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</si>
  <si>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</si>
  <si>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</si>
  <si>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</si>
  <si>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</si>
  <si>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</si>
  <si>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</si>
  <si>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</si>
  <si>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</si>
  <si>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</si>
  <si>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</si>
  <si>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</si>
  <si>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</si>
  <si>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</si>
  <si>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</si>
  <si>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</si>
  <si>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</si>
  <si>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</si>
  <si>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</si>
  <si>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</si>
  <si>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</si>
  <si>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</si>
  <si>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</si>
  <si>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</si>
  <si>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</si>
  <si>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</si>
  <si>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</si>
  <si>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</si>
  <si>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</si>
  <si>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</si>
  <si>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</si>
  <si>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</si>
  <si>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</si>
  <si>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</si>
  <si>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</si>
  <si>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</si>
  <si>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</si>
  <si>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</si>
  <si>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</si>
  <si>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</si>
  <si>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</si>
  <si>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</si>
  <si>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</si>
  <si>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</si>
  <si>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</si>
  <si>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</si>
  <si>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</si>
  <si>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</si>
  <si>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</si>
  <si>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</si>
  <si>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</si>
  <si>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</si>
  <si>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</si>
  <si>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</si>
  <si>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</si>
  <si>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</si>
  <si>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</si>
  <si>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</si>
  <si>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</si>
  <si>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</si>
  <si>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</si>
  <si>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</si>
  <si>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</si>
  <si>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</si>
  <si>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</si>
  <si>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</si>
  <si>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</si>
  <si>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</si>
  <si>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</si>
  <si>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</si>
  <si>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</si>
  <si>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</si>
  <si>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</si>
  <si>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</si>
  <si>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</si>
  <si>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</si>
  <si>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</si>
  <si>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</si>
  <si>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</si>
  <si>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</si>
  <si>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</si>
  <si>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</si>
  <si>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</si>
  <si>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</si>
  <si>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</si>
  <si>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</si>
  <si>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</si>
  <si>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</si>
  <si>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</si>
  <si>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</si>
  <si>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</si>
  <si>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</si>
  <si>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</si>
  <si>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</si>
  <si>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</si>
  <si>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</si>
  <si>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</si>
  <si>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</si>
  <si>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</si>
  <si>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</si>
  <si>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</si>
  <si>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</si>
  <si>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</si>
  <si>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</si>
  <si>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</si>
  <si>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</si>
  <si>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</si>
  <si>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</si>
  <si>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</si>
  <si>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</si>
  <si>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</si>
  <si>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</si>
  <si>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</si>
  <si>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</si>
  <si>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</si>
  <si>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</si>
  <si>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</si>
  <si>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</si>
  <si>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</si>
  <si>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</si>
  <si>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</si>
  <si>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</si>
  <si>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</si>
  <si>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</si>
  <si>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</si>
  <si>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</si>
  <si>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</si>
  <si>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</si>
  <si>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</si>
  <si>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</si>
  <si>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</si>
  <si>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</si>
  <si>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</si>
  <si>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</si>
  <si>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</si>
  <si>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</si>
  <si>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</si>
  <si>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</si>
  <si>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</si>
  <si>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</si>
  <si>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</si>
  <si>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</si>
  <si>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</si>
  <si>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</si>
  <si>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</si>
  <si>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</si>
  <si>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</si>
  <si>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</si>
  <si>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</si>
  <si>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</si>
  <si>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</si>
  <si>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</si>
  <si>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</si>
  <si>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</si>
  <si>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</si>
  <si>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</si>
  <si>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</si>
  <si>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</si>
  <si>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</si>
  <si>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</si>
  <si>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</si>
  <si>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</si>
  <si>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</si>
  <si>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</si>
  <si>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</si>
  <si>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</si>
  <si>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</si>
  <si>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</si>
  <si>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</si>
  <si>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</si>
  <si>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</si>
  <si>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</si>
  <si>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</si>
  <si>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</si>
  <si>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</si>
  <si>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</si>
  <si>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</si>
  <si>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</si>
  <si>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</si>
  <si>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</si>
  <si>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</si>
  <si>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</si>
  <si>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</si>
  <si>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</si>
  <si>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</si>
  <si>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</si>
  <si>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</si>
  <si>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</si>
  <si>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</si>
  <si>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</si>
  <si>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</si>
  <si>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</si>
  <si>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</si>
  <si>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</si>
  <si>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</si>
  <si>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</si>
  <si>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</si>
  <si>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</si>
  <si>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</si>
  <si>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</si>
  <si>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</si>
  <si>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</si>
  <si>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</si>
  <si>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</si>
  <si>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</si>
  <si>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</si>
  <si>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</si>
  <si>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</si>
  <si>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</si>
  <si>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</si>
  <si>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</si>
  <si>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</si>
  <si>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</si>
  <si>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</si>
  <si>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</si>
  <si>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</si>
  <si>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</si>
  <si>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</si>
  <si>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</si>
  <si>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</si>
  <si>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</si>
  <si>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</si>
  <si>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</si>
  <si>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</si>
  <si>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</si>
  <si>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</si>
  <si>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</si>
  <si>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</si>
  <si>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</si>
  <si>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</si>
  <si>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</si>
  <si>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</si>
  <si>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</si>
  <si>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</si>
  <si>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</si>
  <si>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</si>
  <si>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</si>
  <si>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</si>
  <si>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</si>
  <si>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</si>
  <si>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</si>
  <si>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</si>
  <si>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</si>
  <si>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</si>
  <si>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</si>
  <si>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</si>
  <si>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</si>
  <si>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</si>
  <si>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</si>
  <si>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</si>
  <si>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</si>
  <si>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</si>
  <si>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</si>
  <si>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</si>
  <si>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</si>
  <si>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</si>
  <si>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</si>
  <si>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</si>
  <si>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</si>
  <si>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</si>
  <si>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</si>
  <si>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</si>
  <si>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</si>
  <si>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</si>
  <si>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</si>
  <si>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</si>
  <si>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</si>
  <si>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</si>
  <si>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</si>
  <si>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</si>
  <si>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</si>
  <si>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</si>
  <si>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</si>
  <si>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</si>
  <si>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</si>
  <si>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</si>
  <si>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</si>
  <si>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</si>
  <si>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</si>
  <si>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</si>
  <si>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</si>
  <si>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</si>
  <si>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</si>
  <si>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</si>
  <si>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</si>
  <si>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</si>
  <si>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</si>
  <si>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</si>
  <si>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</si>
  <si>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</si>
  <si>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</si>
  <si>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</si>
  <si>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</si>
  <si>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</si>
  <si>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</si>
  <si>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</si>
  <si>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</si>
  <si>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</si>
  <si>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</si>
  <si>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</si>
  <si>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</si>
  <si>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</si>
  <si>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</si>
  <si>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</si>
  <si>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</si>
  <si>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</si>
  <si>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</si>
  <si>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</si>
  <si>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</si>
  <si>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</si>
  <si>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</si>
  <si>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</si>
  <si>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</si>
  <si>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</si>
  <si>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</si>
  <si>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</si>
  <si>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</si>
  <si>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</si>
  <si>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</si>
  <si>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</si>
  <si>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</si>
  <si>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</si>
  <si>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</si>
  <si>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</si>
  <si>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</si>
  <si>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</si>
  <si>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</si>
  <si>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</si>
  <si>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</si>
  <si>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</si>
  <si>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</si>
  <si>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</si>
  <si>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</si>
  <si>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</si>
  <si>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</si>
  <si>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</si>
  <si>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</si>
  <si>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</si>
  <si>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</si>
  <si>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</si>
  <si>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</si>
  <si>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</si>
  <si>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</si>
  <si>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</si>
  <si>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</si>
  <si>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</si>
  <si>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</si>
  <si>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</si>
  <si>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</si>
  <si>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</si>
  <si>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</si>
  <si>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</si>
  <si>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</si>
  <si>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</si>
  <si>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</si>
  <si>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</si>
  <si>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</si>
  <si>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</si>
  <si>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</si>
  <si>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</si>
  <si>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</si>
  <si>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</si>
  <si>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</si>
  <si>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</si>
  <si>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</si>
  <si>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</si>
  <si>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</si>
  <si>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</si>
  <si>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</si>
  <si>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</si>
  <si>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</si>
  <si>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</si>
  <si>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</si>
  <si>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</si>
  <si>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</si>
  <si>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</si>
  <si>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</si>
  <si>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</si>
  <si>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</si>
  <si>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</si>
  <si>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</si>
  <si>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</si>
  <si>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</si>
  <si>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</si>
  <si>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</si>
  <si>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</si>
  <si>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</si>
  <si>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</si>
  <si>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</si>
  <si>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</si>
  <si>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</si>
  <si>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</si>
  <si>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</si>
  <si>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</si>
  <si>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</si>
  <si>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</si>
  <si>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</si>
  <si>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</si>
  <si>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</si>
  <si>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</si>
  <si>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</si>
  <si>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</si>
  <si>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</si>
  <si>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</si>
  <si>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</si>
  <si>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</si>
  <si>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</si>
  <si>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</si>
  <si>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</si>
  <si>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</si>
  <si>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</si>
  <si>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</si>
  <si>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</si>
  <si>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</si>
  <si>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</si>
  <si>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</si>
  <si>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</si>
  <si>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</si>
  <si>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</si>
  <si>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</si>
  <si>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</si>
  <si>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</si>
  <si>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</si>
  <si>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</si>
  <si>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</si>
  <si>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</si>
  <si>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</si>
  <si>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</si>
  <si>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</si>
  <si>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</si>
  <si>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</si>
  <si>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</si>
  <si>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</si>
  <si>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</si>
  <si>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</si>
  <si>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</si>
  <si>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</si>
  <si>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</si>
  <si>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</si>
  <si>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</si>
  <si>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</si>
  <si>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</si>
  <si>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</si>
  <si>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</si>
  <si>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</si>
  <si>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</si>
  <si>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</si>
  <si>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</si>
  <si>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</si>
  <si>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</si>
  <si>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</si>
  <si>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</si>
  <si>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</si>
  <si>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</si>
  <si>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</si>
  <si>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</si>
  <si>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</si>
  <si>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</si>
  <si>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</si>
  <si>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</si>
  <si>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</si>
  <si>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</si>
  <si>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</si>
  <si>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</si>
  <si>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</si>
  <si>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</si>
  <si>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</si>
  <si>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</si>
  <si>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</si>
  <si>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</si>
  <si>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</si>
  <si>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</si>
  <si>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</si>
  <si>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</si>
  <si>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</si>
  <si>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</si>
  <si>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</si>
  <si>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</si>
  <si>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</si>
  <si>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</si>
  <si>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</si>
  <si>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</si>
  <si>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</si>
  <si>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</si>
  <si>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</si>
  <si>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</si>
  <si>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</si>
  <si>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</si>
  <si>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</si>
  <si>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</si>
  <si>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</si>
  <si>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</si>
  <si>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</si>
  <si>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</si>
  <si>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</si>
  <si>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</si>
  <si>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</si>
  <si>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</si>
  <si>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</si>
  <si>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</si>
  <si>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</si>
  <si>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</si>
  <si>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</si>
  <si>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</si>
  <si>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</si>
  <si>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</si>
  <si>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</si>
  <si>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</si>
  <si>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</si>
  <si>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</si>
  <si>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</si>
  <si>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</si>
  <si>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</si>
  <si>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</si>
  <si>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</si>
  <si>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</si>
  <si>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</si>
  <si>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</si>
  <si>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</si>
  <si>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</si>
  <si>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</si>
  <si>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</si>
  <si>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</si>
  <si>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</si>
  <si>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</si>
  <si>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</si>
  <si>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</si>
  <si>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</si>
  <si>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</si>
  <si>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</si>
  <si>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</si>
  <si>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</si>
  <si>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</si>
  <si>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</si>
  <si>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</si>
  <si>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</si>
  <si>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</si>
  <si>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</si>
  <si>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</si>
  <si>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</si>
  <si>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</si>
  <si>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</si>
  <si>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</si>
  <si>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</si>
  <si>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</si>
  <si>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</si>
  <si>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</si>
  <si>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</si>
  <si>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</si>
  <si>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</si>
  <si>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</si>
  <si>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</si>
  <si>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</si>
  <si>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</si>
  <si>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</si>
  <si>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</si>
  <si>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</si>
  <si>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</si>
  <si>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</si>
  <si>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</si>
  <si>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</si>
  <si>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</si>
  <si>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</si>
  <si>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</si>
  <si>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</si>
  <si>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</si>
  <si>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</si>
  <si>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</si>
  <si>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</si>
  <si>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</si>
  <si>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</si>
  <si>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</si>
  <si>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</si>
  <si>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</si>
  <si>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</si>
  <si>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</si>
  <si>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</si>
  <si>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</si>
  <si>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</si>
  <si>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</si>
  <si>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</si>
  <si>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</si>
  <si>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</si>
  <si>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</si>
  <si>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</si>
  <si>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</si>
  <si>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</si>
  <si>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</si>
  <si>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</si>
  <si>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</si>
  <si>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</si>
  <si>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</si>
  <si>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</si>
  <si>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</si>
  <si>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</si>
  <si>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</si>
  <si>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</si>
  <si>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</si>
  <si>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</si>
  <si>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</si>
  <si>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</si>
  <si>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</si>
  <si>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</si>
  <si>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</si>
  <si>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</si>
  <si>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</si>
  <si>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</si>
  <si>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</si>
  <si>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</si>
  <si>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</si>
  <si>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</si>
  <si>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</si>
  <si>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</si>
  <si>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</si>
  <si>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</si>
  <si>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</si>
  <si>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</si>
  <si>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</si>
  <si>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</si>
  <si>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</si>
  <si>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</si>
  <si>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</si>
  <si>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</si>
  <si>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</si>
  <si>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</si>
  <si>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</si>
  <si>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</si>
  <si>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</si>
  <si>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</si>
  <si>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</si>
  <si>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</si>
  <si>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</si>
  <si>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</si>
  <si>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</si>
  <si>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</si>
  <si>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</si>
  <si>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</si>
  <si>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</si>
  <si>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</si>
  <si>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</si>
  <si>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</si>
  <si>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</si>
  <si>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</si>
  <si>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</si>
  <si>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</si>
  <si>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</si>
  <si>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</si>
  <si>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</si>
  <si>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</si>
  <si>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</si>
  <si>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</si>
  <si>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</si>
  <si>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</si>
  <si>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</si>
  <si>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</si>
  <si>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</si>
  <si>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</si>
  <si>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</si>
  <si>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</si>
  <si>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</si>
  <si>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</si>
  <si>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</si>
  <si>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</si>
  <si>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</si>
  <si>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</si>
  <si>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</si>
  <si>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</si>
  <si>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</si>
  <si>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</si>
  <si>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</si>
  <si>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</si>
  <si>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</si>
  <si>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</si>
  <si>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</si>
  <si>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</si>
  <si>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</si>
  <si>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</si>
  <si>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</si>
  <si>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</si>
  <si>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</si>
  <si>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</si>
  <si>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</si>
  <si>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</si>
  <si>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</si>
  <si>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</si>
  <si>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</si>
  <si>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</si>
  <si>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</si>
  <si>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</si>
  <si>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</si>
  <si>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</si>
  <si>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</si>
  <si>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</si>
  <si>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</si>
  <si>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</si>
  <si>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</si>
  <si>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</si>
  <si>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</si>
  <si>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</si>
  <si>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</si>
  <si>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</si>
  <si>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</si>
  <si>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</si>
  <si>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</si>
  <si>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</si>
  <si>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</si>
  <si>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</si>
  <si>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</si>
  <si>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</si>
  <si>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</si>
  <si>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</si>
  <si>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</si>
  <si>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</si>
  <si>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</si>
  <si>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</si>
  <si>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</si>
  <si>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</si>
  <si>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</si>
  <si>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</si>
  <si>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</si>
  <si>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</si>
  <si>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</si>
  <si>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</si>
  <si>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</si>
  <si>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</si>
  <si>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</si>
  <si>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</si>
  <si>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</si>
  <si>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</si>
  <si>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</si>
  <si>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</si>
  <si>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</si>
  <si>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</si>
  <si>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</si>
  <si>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</si>
  <si>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</si>
  <si>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</si>
  <si>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</si>
  <si>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</si>
  <si>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</si>
  <si>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</si>
  <si>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</si>
  <si>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</si>
  <si>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</si>
  <si>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</si>
  <si>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</si>
  <si>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</si>
  <si>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</si>
  <si>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</si>
  <si>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</si>
  <si>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</si>
  <si>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</si>
  <si>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</si>
  <si>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</si>
  <si>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</si>
  <si>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</si>
  <si>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</si>
  <si>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</si>
  <si>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</si>
  <si>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</si>
  <si>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</si>
  <si>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</si>
  <si>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</si>
  <si>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</si>
  <si>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</si>
  <si>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</si>
  <si>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</si>
  <si>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</si>
  <si>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</si>
  <si>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</si>
  <si>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</si>
  <si>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</si>
  <si>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</si>
  <si>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</si>
  <si>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</si>
  <si>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</si>
  <si>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</si>
  <si>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</si>
  <si>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</si>
  <si>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</si>
  <si>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</si>
  <si>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</si>
  <si>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</si>
  <si>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</si>
  <si>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</si>
  <si>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</si>
  <si>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</si>
  <si>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</si>
  <si>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</si>
  <si>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</si>
  <si>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</si>
  <si>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</si>
  <si>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</si>
  <si>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</si>
  <si>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</si>
  <si>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</si>
  <si>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</si>
  <si>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</si>
  <si>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</si>
  <si>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</si>
  <si>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</si>
  <si>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</si>
  <si>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</si>
  <si>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</si>
  <si>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</si>
  <si>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</si>
  <si>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</si>
  <si>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</si>
  <si>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</si>
  <si>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</si>
  <si>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</si>
  <si>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</si>
  <si>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</si>
  <si>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</si>
  <si>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</si>
  <si>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</si>
  <si>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</si>
  <si>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</si>
  <si>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</si>
  <si>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</si>
  <si>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</si>
  <si>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</si>
  <si>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</si>
  <si>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</si>
  <si>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</si>
  <si>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</si>
  <si>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</si>
  <si>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</si>
  <si>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</si>
  <si>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</si>
  <si>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</si>
  <si>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</si>
  <si>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</si>
  <si>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</si>
  <si>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</si>
  <si>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</si>
  <si>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</si>
  <si>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</si>
  <si>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</si>
  <si>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</si>
  <si>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</si>
  <si>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</si>
  <si>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</si>
  <si>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</si>
  <si>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</si>
  <si>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</si>
  <si>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</si>
  <si>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</si>
  <si>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</si>
  <si>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</si>
  <si>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</si>
  <si>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</si>
  <si>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</si>
  <si>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</si>
  <si>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</si>
  <si>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</si>
  <si>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</si>
  <si>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</si>
  <si>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</si>
  <si>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</si>
  <si>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</si>
  <si>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</si>
  <si>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</si>
  <si>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</si>
  <si>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</si>
  <si>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</si>
  <si>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</si>
  <si>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</si>
  <si>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</si>
  <si>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</si>
  <si>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</si>
  <si>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</si>
  <si>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</si>
  <si>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</si>
  <si>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</si>
  <si>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</si>
  <si>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</si>
  <si>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</si>
  <si>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</si>
  <si>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</si>
  <si>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</si>
  <si>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</si>
  <si>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</si>
  <si>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</si>
  <si>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</si>
  <si>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</si>
  <si>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</si>
  <si>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</si>
  <si>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</si>
  <si>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</si>
  <si>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</si>
  <si>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</si>
  <si>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</si>
  <si>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</si>
  <si>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</si>
  <si>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</si>
  <si>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</si>
  <si>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</si>
  <si>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</si>
  <si>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</si>
  <si>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</si>
  <si>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</si>
  <si>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</si>
  <si>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</si>
  <si>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</si>
  <si>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</si>
  <si>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</si>
  <si>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</si>
  <si>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</si>
  <si>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</si>
  <si>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</si>
  <si>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</si>
  <si>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</si>
  <si>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</si>
  <si>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</si>
  <si>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</si>
  <si>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</si>
  <si>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</si>
  <si>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</si>
  <si>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</si>
  <si>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</si>
  <si>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</si>
  <si>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</si>
  <si>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</si>
  <si>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</si>
  <si>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</si>
  <si>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</si>
  <si>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</si>
  <si>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</si>
  <si>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</si>
  <si>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</si>
  <si>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</si>
  <si>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</si>
  <si>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</si>
  <si>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</si>
  <si>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</si>
  <si>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</si>
  <si>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</si>
  <si>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</si>
  <si>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</si>
  <si>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</si>
  <si>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</si>
  <si>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</si>
  <si>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</si>
  <si>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</si>
  <si>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</si>
  <si>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</si>
  <si>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</si>
  <si>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</si>
  <si>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</si>
  <si>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</si>
  <si>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</si>
  <si>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</si>
  <si>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</si>
  <si>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</si>
  <si>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</si>
  <si>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</si>
  <si>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</si>
  <si>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</si>
  <si>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</si>
  <si>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</si>
  <si>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</si>
  <si>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</si>
  <si>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</si>
  <si>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</si>
  <si>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</si>
  <si>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</si>
  <si>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</si>
  <si>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</si>
  <si>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</si>
  <si>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</si>
  <si>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</si>
  <si>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</si>
  <si>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</si>
  <si>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</si>
  <si>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</si>
  <si>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</si>
  <si>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</si>
  <si>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</si>
  <si>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</si>
  <si>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</si>
  <si>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</si>
  <si>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</si>
  <si>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</si>
  <si>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</si>
  <si>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</si>
  <si>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</si>
  <si>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</si>
  <si>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</si>
  <si>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</si>
  <si>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</si>
  <si>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</si>
  <si>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</si>
  <si>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</si>
  <si>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</si>
  <si>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</si>
  <si>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</si>
  <si>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</si>
  <si>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</si>
  <si>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</si>
  <si>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</si>
  <si>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</si>
  <si>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</si>
  <si>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</si>
  <si>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</si>
  <si>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</si>
  <si>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</si>
  <si>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</si>
  <si>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</si>
  <si>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</si>
  <si>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</si>
  <si>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</si>
  <si>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</si>
  <si>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</si>
  <si>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</si>
  <si>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</si>
  <si>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</si>
  <si>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</si>
  <si>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</si>
  <si>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</si>
  <si>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</si>
  <si>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</si>
  <si>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</si>
  <si>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</si>
  <si>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</si>
  <si>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</si>
  <si>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</si>
  <si>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</si>
  <si>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</si>
  <si>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</si>
  <si>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</si>
  <si>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</si>
  <si>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</si>
  <si>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</si>
  <si>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</si>
  <si>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</si>
  <si>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</si>
  <si>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</si>
  <si>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</si>
  <si>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</si>
  <si>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</si>
  <si>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</si>
  <si>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</si>
  <si>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</si>
  <si>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</si>
  <si>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</si>
  <si>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</si>
  <si>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</si>
  <si>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</si>
  <si>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</si>
  <si>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</si>
  <si>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</si>
  <si>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</si>
  <si>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</si>
  <si>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</si>
  <si>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</si>
  <si>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</si>
  <si>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</si>
  <si>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</si>
  <si>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</si>
  <si>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</si>
  <si>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</si>
  <si>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</si>
  <si>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</si>
  <si>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</si>
  <si>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</si>
  <si>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</si>
  <si>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</si>
  <si>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</si>
  <si>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</si>
  <si>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</si>
  <si>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</si>
  <si>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</si>
  <si>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</si>
  <si>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</si>
  <si>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</si>
  <si>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</si>
  <si>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</si>
  <si>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</si>
  <si>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</si>
  <si>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</si>
  <si>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</si>
  <si>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</si>
  <si>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</si>
  <si>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</si>
  <si>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</si>
  <si>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</si>
  <si>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</si>
  <si>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</si>
  <si>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</si>
  <si>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</si>
  <si>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</si>
  <si>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</si>
  <si>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</si>
  <si>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</si>
  <si>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</si>
  <si>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</si>
  <si>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</si>
  <si>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</si>
  <si>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</si>
  <si>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</si>
  <si>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</si>
  <si>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</si>
  <si>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</si>
  <si>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</si>
  <si>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</si>
  <si>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</si>
  <si>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</si>
  <si>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</si>
  <si>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</si>
  <si>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</si>
  <si>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</si>
  <si>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</si>
  <si>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</si>
  <si>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</si>
  <si>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</si>
  <si>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</si>
  <si>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</si>
  <si>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</si>
  <si>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</si>
  <si>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</si>
  <si>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</si>
  <si>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</si>
  <si>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</si>
  <si>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</si>
  <si>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</si>
  <si>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</si>
  <si>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</si>
  <si>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</si>
  <si>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</si>
  <si>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</si>
  <si>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</si>
  <si>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</si>
  <si>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</si>
  <si>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</si>
  <si>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</si>
  <si>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</si>
  <si>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</si>
  <si>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</si>
  <si>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</si>
  <si>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</si>
  <si>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</si>
  <si>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</si>
  <si>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</si>
  <si>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</si>
  <si>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</si>
  <si>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</si>
  <si>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</si>
  <si>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</si>
  <si>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</si>
  <si>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</si>
  <si>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</si>
  <si>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</si>
  <si>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</si>
  <si>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</si>
  <si>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</si>
  <si>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</si>
  <si>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</si>
  <si>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</si>
  <si>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</si>
  <si>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</si>
  <si>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</si>
  <si>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</si>
  <si>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</si>
  <si>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</si>
  <si>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</si>
  <si>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</si>
  <si>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</si>
  <si>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</si>
  <si>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</si>
  <si>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</si>
  <si>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</si>
  <si>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</si>
  <si>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</si>
  <si>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</si>
  <si>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</si>
  <si>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</si>
  <si>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</si>
  <si>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</si>
  <si>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</si>
  <si>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</si>
  <si>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</si>
  <si>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</si>
  <si>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</si>
  <si>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</si>
  <si>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</si>
  <si>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</si>
  <si>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</si>
  <si>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</si>
  <si>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</si>
  <si>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</si>
  <si>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</si>
  <si>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</si>
  <si>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</si>
  <si>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</si>
  <si>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</si>
  <si>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</si>
  <si>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</si>
  <si>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</si>
  <si>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</si>
  <si>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</si>
  <si>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</si>
  <si>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</si>
  <si>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</si>
  <si>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</si>
  <si>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</si>
  <si>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</si>
  <si>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</si>
  <si>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</si>
  <si>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</si>
  <si>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</si>
  <si>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</si>
  <si>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</si>
  <si>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</si>
  <si>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</si>
  <si>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</si>
  <si>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</si>
  <si>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</si>
  <si>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</si>
  <si>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</si>
  <si>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</si>
  <si>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</si>
  <si>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</si>
  <si>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</si>
  <si>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</si>
  <si>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</si>
  <si>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</si>
  <si>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</si>
  <si>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</si>
  <si>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</si>
  <si>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</si>
  <si>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</si>
  <si>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</si>
  <si>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</si>
  <si>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</si>
  <si>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</si>
  <si>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</si>
  <si>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</si>
  <si>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</si>
  <si>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</si>
  <si>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</si>
  <si>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</si>
  <si>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</si>
  <si>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</si>
  <si>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</si>
  <si>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</si>
  <si>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</si>
  <si>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</si>
  <si>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</si>
  <si>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</si>
  <si>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</si>
  <si>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</si>
  <si>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</si>
  <si>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</si>
  <si>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</si>
  <si>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</si>
  <si>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</si>
  <si>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</si>
  <si>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</si>
  <si>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</si>
  <si>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</si>
  <si>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</si>
  <si>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</si>
  <si>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</si>
  <si>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</si>
  <si>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</si>
  <si>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</si>
  <si>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</si>
  <si>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</si>
  <si>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</si>
  <si>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</si>
  <si>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</si>
  <si>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</si>
  <si>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</si>
  <si>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</si>
  <si>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</si>
  <si>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</si>
  <si>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</si>
  <si>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</si>
  <si>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</si>
  <si>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</si>
  <si>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</si>
  <si>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</si>
  <si>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</si>
  <si>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</si>
  <si>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</si>
  <si>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</si>
  <si>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</si>
  <si>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</si>
  <si>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</si>
  <si>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</si>
  <si>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</si>
  <si>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</si>
  <si>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</si>
  <si>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</si>
  <si>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</si>
  <si>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</si>
  <si>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</si>
  <si>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</si>
  <si>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</si>
  <si>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</si>
  <si>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</si>
  <si>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</si>
  <si>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</si>
  <si>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</si>
  <si>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</si>
  <si>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</si>
  <si>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</si>
  <si>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</si>
  <si>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</si>
  <si>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</si>
  <si>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</si>
  <si>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</si>
  <si>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</si>
  <si>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</si>
  <si>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</si>
  <si>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</si>
  <si>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</si>
  <si>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</si>
  <si>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</si>
  <si>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</si>
  <si>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</si>
  <si>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</si>
  <si>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</si>
  <si>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</si>
  <si>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</si>
  <si>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</si>
  <si>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</si>
  <si>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</si>
  <si>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</si>
  <si>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</si>
  <si>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</si>
  <si>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</si>
  <si>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</si>
  <si>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</si>
  <si>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</si>
  <si>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</si>
  <si>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</si>
  <si>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</si>
  <si>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</si>
  <si>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</si>
  <si>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</si>
  <si>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</si>
  <si>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</si>
  <si>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</si>
  <si>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</si>
  <si>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</si>
  <si>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</si>
  <si>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</si>
  <si>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</si>
  <si>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</si>
  <si>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</si>
  <si>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</si>
  <si>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</si>
  <si>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</si>
  <si>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</si>
  <si>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</si>
  <si>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</si>
  <si>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</si>
  <si>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</si>
  <si>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</si>
  <si>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</si>
  <si>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</si>
  <si>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</si>
  <si>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</si>
  <si>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</si>
  <si>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</si>
  <si>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</si>
  <si>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</si>
  <si>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</si>
  <si>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</si>
  <si>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</si>
  <si>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</si>
  <si>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</si>
  <si>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</si>
  <si>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</si>
  <si>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</si>
  <si>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</si>
  <si>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</si>
  <si>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</si>
  <si>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</si>
  <si>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</si>
  <si>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</si>
  <si>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</si>
  <si>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</si>
  <si>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</si>
  <si>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</si>
  <si>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</si>
  <si>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</si>
  <si>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</si>
  <si>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</si>
  <si>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</si>
  <si>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</si>
  <si>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</si>
  <si>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</si>
  <si>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</si>
  <si>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</si>
  <si>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</si>
  <si>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</si>
  <si>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</si>
  <si>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</si>
  <si>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</si>
  <si>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</si>
  <si>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</si>
  <si>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</si>
  <si>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</si>
  <si>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</si>
  <si>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</si>
  <si>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</si>
  <si>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</si>
  <si>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</si>
  <si>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</si>
  <si>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</si>
  <si>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</si>
  <si>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</si>
  <si>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</si>
  <si>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</si>
  <si>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</si>
  <si>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</si>
  <si>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</si>
  <si>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</si>
  <si>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</si>
  <si>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</si>
  <si>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</si>
  <si>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</si>
  <si>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</si>
  <si>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</si>
  <si>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</si>
  <si>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</si>
  <si>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</si>
  <si>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</si>
  <si>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</si>
  <si>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</si>
  <si>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</si>
  <si>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</si>
  <si>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</si>
  <si>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</si>
  <si>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</si>
  <si>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</si>
  <si>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</si>
  <si>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</si>
  <si>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</si>
  <si>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</si>
  <si>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</si>
  <si>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</si>
  <si>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</si>
  <si>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</si>
  <si>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</si>
  <si>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</si>
  <si>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</si>
  <si>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</si>
  <si>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</si>
  <si>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</si>
  <si>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</si>
  <si>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</si>
  <si>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</si>
  <si>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</si>
  <si>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</si>
  <si>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</si>
  <si>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</si>
  <si>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</si>
  <si>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</si>
  <si>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</si>
  <si>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</si>
  <si>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</si>
  <si>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</si>
  <si>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</si>
  <si>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</si>
  <si>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</si>
  <si>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</si>
  <si>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</si>
  <si>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</si>
  <si>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</si>
  <si>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</si>
  <si>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</si>
  <si>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</si>
  <si>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</si>
  <si>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</si>
  <si>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</si>
  <si>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</si>
  <si>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</si>
  <si>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</si>
  <si>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</si>
  <si>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</si>
  <si>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</si>
  <si>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</si>
  <si>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</si>
  <si>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</si>
  <si>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</si>
  <si>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</si>
  <si>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</si>
  <si>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</si>
  <si>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</si>
  <si>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</si>
  <si>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</si>
  <si>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</si>
  <si>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</si>
  <si>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</si>
  <si>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</si>
  <si>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</si>
  <si>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</si>
  <si>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</si>
  <si>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</si>
  <si>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</si>
  <si>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</si>
  <si>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</si>
  <si>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</si>
  <si>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</si>
  <si>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</si>
  <si>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</si>
  <si>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</si>
  <si>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</si>
  <si>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</si>
  <si>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</si>
  <si>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</si>
  <si>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</si>
  <si>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</si>
  <si>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</si>
  <si>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</si>
  <si>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</si>
  <si>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</si>
  <si>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</si>
  <si>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</si>
  <si>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</si>
  <si>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</si>
  <si>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</si>
  <si>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</si>
  <si>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</si>
  <si>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</si>
  <si>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</si>
  <si>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</si>
  <si>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</si>
  <si>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</si>
  <si>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</si>
  <si>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</si>
  <si>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</si>
  <si>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</si>
  <si>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</si>
  <si>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</si>
  <si>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</si>
  <si>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</si>
  <si>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</si>
  <si>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</si>
  <si>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</si>
  <si>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</si>
  <si>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</si>
  <si>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</si>
  <si>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</si>
  <si>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</si>
  <si>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</si>
  <si>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</si>
  <si>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</si>
  <si>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</si>
  <si>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</si>
  <si>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</si>
  <si>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</si>
  <si>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</si>
  <si>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</si>
  <si>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</si>
  <si>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</si>
  <si>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</si>
  <si>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</si>
  <si>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</si>
  <si>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</si>
  <si>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</si>
  <si>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</si>
  <si>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</si>
  <si>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</si>
  <si>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</si>
  <si>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</si>
  <si>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</si>
  <si>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</si>
  <si>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</si>
  <si>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</si>
  <si>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</si>
  <si>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</si>
  <si>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</si>
  <si>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</si>
  <si>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</si>
  <si>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</si>
  <si>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</si>
  <si>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</si>
  <si>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</si>
  <si>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</si>
  <si>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</si>
  <si>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</si>
  <si>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</si>
  <si>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</si>
  <si>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</si>
  <si>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</si>
  <si>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</si>
  <si>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</si>
  <si>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</si>
  <si>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</si>
  <si>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</si>
  <si>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</si>
  <si>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</si>
  <si>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</si>
  <si>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</si>
  <si>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</si>
  <si>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</si>
  <si>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</si>
  <si>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</si>
  <si>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</si>
  <si>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</si>
  <si>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</si>
  <si>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</si>
  <si>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</si>
  <si>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</si>
  <si>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</si>
  <si>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</si>
  <si>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</si>
  <si>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</si>
  <si>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</si>
  <si>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</si>
  <si>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</si>
  <si>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</si>
  <si>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</si>
  <si>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</si>
  <si>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</si>
  <si>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</si>
  <si>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</si>
  <si>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</si>
  <si>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</si>
  <si>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</si>
  <si>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</si>
  <si>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</si>
  <si>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</si>
  <si>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</si>
  <si>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</si>
  <si>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</si>
  <si>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</si>
  <si>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</si>
  <si>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</si>
  <si>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</si>
  <si>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</si>
  <si>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</si>
  <si>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</si>
  <si>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</si>
  <si>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</si>
  <si>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</si>
  <si>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</si>
  <si>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</si>
  <si>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</si>
  <si>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</si>
  <si>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</si>
  <si>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</si>
  <si>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</si>
  <si>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</si>
  <si>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</si>
  <si>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</si>
  <si>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</si>
  <si>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</si>
  <si>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</si>
  <si>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</si>
  <si>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</si>
  <si>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</si>
  <si>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</si>
  <si>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</si>
  <si>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</si>
  <si>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</si>
  <si>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</si>
  <si>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</si>
  <si>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</si>
  <si>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</si>
  <si>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</si>
  <si>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</si>
  <si>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</si>
  <si>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</si>
  <si>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</si>
  <si>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</si>
  <si>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</si>
  <si>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</si>
  <si>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</si>
  <si>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</si>
  <si>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</si>
  <si>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</si>
  <si>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</si>
  <si>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</si>
  <si>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</si>
  <si>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</si>
  <si>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</si>
  <si>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</si>
  <si>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</si>
  <si>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</si>
  <si>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</si>
  <si>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</si>
  <si>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</si>
  <si>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</si>
  <si>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</si>
  <si>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</si>
  <si>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</si>
  <si>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</si>
  <si>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</si>
  <si>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</si>
  <si>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</si>
  <si>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</si>
  <si>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</si>
  <si>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</si>
  <si>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</si>
  <si>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</si>
  <si>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</si>
  <si>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</si>
  <si>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</si>
  <si>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</si>
  <si>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</si>
  <si>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</si>
  <si>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</si>
  <si>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</si>
  <si>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</si>
  <si>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</si>
  <si>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</si>
  <si>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</si>
  <si>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</si>
  <si>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</si>
  <si>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</si>
  <si>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</si>
  <si>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</si>
  <si>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</si>
  <si>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</si>
  <si>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</si>
  <si>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</si>
  <si>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</si>
  <si>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</si>
  <si>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</si>
  <si>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</si>
  <si>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</si>
  <si>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</si>
  <si>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</si>
  <si>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</si>
  <si>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</si>
  <si>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</si>
  <si>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</si>
  <si>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</si>
  <si>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</si>
  <si>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</si>
  <si>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</si>
  <si>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</si>
  <si>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</si>
  <si>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</si>
  <si>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</si>
  <si>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</si>
  <si>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</si>
  <si>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</si>
  <si>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</si>
  <si>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</si>
  <si>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</si>
  <si>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</si>
  <si>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</si>
  <si>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</si>
  <si>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</si>
  <si>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</si>
  <si>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</si>
  <si>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</si>
  <si>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</si>
  <si>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</si>
  <si>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</si>
  <si>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</si>
  <si>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</si>
  <si>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</si>
  <si>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</si>
  <si>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</si>
  <si>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</si>
  <si>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</si>
  <si>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</si>
  <si>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</si>
  <si>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</si>
  <si>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</si>
  <si>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</si>
  <si>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</si>
  <si>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</si>
  <si>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</si>
  <si>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</si>
  <si>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</si>
  <si>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</si>
  <si>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</si>
  <si>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</si>
  <si>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</si>
  <si>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</si>
  <si>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</si>
  <si>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</si>
  <si>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</si>
  <si>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</si>
  <si>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</si>
  <si>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</si>
  <si>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</si>
  <si>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</si>
  <si>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</si>
  <si>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</si>
  <si>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</si>
  <si>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</si>
  <si>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</si>
  <si>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</si>
  <si>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</si>
  <si>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</si>
  <si>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</si>
  <si>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</si>
  <si>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</si>
  <si>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</si>
  <si>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</si>
  <si>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</si>
  <si>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</si>
  <si>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</si>
  <si>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</si>
  <si>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</si>
  <si>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</si>
  <si>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</si>
  <si>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</si>
  <si>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</si>
  <si>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</si>
  <si>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</si>
  <si>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</si>
  <si>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</si>
  <si>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</si>
  <si>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</si>
  <si>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</si>
  <si>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</si>
  <si>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</si>
  <si>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</si>
  <si>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</si>
  <si>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</si>
  <si>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</si>
  <si>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</si>
  <si>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</si>
  <si>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</si>
  <si>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</si>
  <si>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</si>
  <si>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</si>
  <si>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</si>
  <si>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</si>
  <si>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</si>
  <si>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</si>
  <si>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</si>
  <si>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</si>
  <si>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</si>
  <si>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</si>
  <si>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</si>
  <si>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</si>
  <si>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</si>
  <si>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</si>
  <si>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</si>
  <si>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</si>
  <si>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</si>
  <si>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</si>
  <si>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</si>
  <si>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</si>
  <si>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</si>
  <si>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</si>
  <si>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</si>
  <si>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</si>
  <si>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</si>
  <si>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</si>
  <si>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</si>
  <si>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</si>
  <si>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</si>
  <si>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</si>
  <si>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</si>
  <si>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</si>
  <si>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</si>
  <si>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</si>
  <si>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</si>
  <si>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</si>
  <si>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</si>
  <si>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</si>
  <si>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</si>
  <si>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</si>
  <si>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</si>
  <si>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</si>
  <si>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</si>
  <si>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</si>
  <si>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</si>
  <si>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</si>
  <si>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</si>
  <si>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</si>
  <si>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</si>
  <si>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</si>
  <si>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</si>
  <si>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</si>
  <si>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</si>
  <si>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</si>
  <si>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</si>
  <si>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</si>
  <si>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</si>
  <si>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</si>
  <si>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</si>
  <si>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</si>
  <si>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</si>
  <si>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</si>
  <si>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</si>
  <si>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</si>
  <si>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</si>
  <si>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</si>
  <si>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</si>
  <si>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</si>
  <si>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</si>
  <si>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</si>
  <si>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</si>
  <si>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</si>
  <si>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</si>
  <si>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</si>
  <si>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</si>
  <si>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</si>
  <si>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</si>
  <si>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</si>
  <si>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</si>
  <si>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</si>
  <si>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</si>
  <si>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</si>
  <si>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</si>
  <si>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</si>
  <si>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</si>
  <si>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</si>
  <si>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</si>
  <si>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</si>
  <si>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</si>
  <si>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</si>
  <si>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</si>
  <si>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</si>
  <si>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</si>
  <si>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</si>
  <si>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</si>
  <si>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</si>
  <si>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</si>
  <si>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</si>
  <si>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</si>
  <si>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</si>
  <si>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</si>
  <si>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</si>
  <si>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</si>
  <si>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</si>
  <si>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</si>
  <si>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</si>
  <si>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</si>
  <si>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</si>
  <si>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</si>
  <si>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</si>
  <si>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</si>
  <si>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</si>
  <si>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</si>
  <si>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</si>
  <si>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</si>
  <si>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</si>
  <si>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</si>
  <si>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</si>
  <si>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</si>
  <si>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</si>
  <si>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</si>
  <si>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</si>
  <si>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</si>
  <si>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</si>
  <si>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</si>
  <si>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</si>
  <si>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</si>
  <si>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</si>
  <si>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</si>
  <si>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</si>
  <si>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</si>
  <si>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</si>
  <si>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</si>
  <si>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</si>
  <si>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</si>
  <si>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</si>
  <si>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</si>
  <si>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</si>
  <si>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</si>
  <si>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</si>
  <si>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</si>
  <si>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</si>
  <si>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</si>
  <si>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</si>
  <si>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</si>
  <si>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</si>
  <si>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</si>
  <si>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</si>
  <si>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</si>
  <si>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</si>
  <si>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</si>
  <si>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</si>
  <si>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</si>
  <si>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</si>
  <si>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</si>
  <si>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</si>
  <si>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</si>
  <si>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</si>
  <si>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</si>
  <si>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</si>
  <si>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</si>
  <si>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</si>
  <si>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</si>
  <si>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</si>
  <si>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</si>
  <si>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</si>
  <si>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</si>
  <si>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</si>
  <si>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</si>
  <si>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</si>
  <si>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</si>
  <si>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</si>
  <si>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</si>
  <si>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</si>
  <si>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</si>
  <si>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</si>
  <si>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</si>
  <si>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</si>
  <si>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</si>
  <si>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</si>
  <si>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</si>
  <si>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</si>
  <si>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</si>
  <si>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</si>
  <si>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</si>
  <si>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</si>
  <si>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</si>
  <si>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</si>
  <si>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</si>
  <si>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</si>
  <si>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</si>
  <si>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</si>
  <si>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</si>
  <si>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</si>
  <si>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</si>
  <si>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</si>
  <si>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</si>
  <si>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</si>
  <si>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</si>
  <si>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</si>
  <si>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</si>
  <si>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</si>
  <si>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</si>
  <si>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</si>
  <si>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</si>
  <si>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</si>
  <si>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</si>
  <si>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</si>
  <si>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</si>
  <si>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</si>
  <si>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</si>
  <si>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</si>
  <si>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</si>
  <si>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</si>
  <si>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</si>
  <si>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</si>
  <si>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</si>
  <si>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</si>
  <si>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</si>
  <si>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</si>
  <si>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</si>
  <si>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</si>
  <si>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</si>
  <si>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</si>
  <si>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</si>
  <si>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</si>
  <si>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</si>
  <si>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</si>
  <si>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</si>
  <si>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</si>
  <si>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</si>
  <si>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</si>
  <si>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</si>
  <si>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</si>
  <si>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</si>
  <si>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</si>
  <si>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</si>
  <si>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</si>
  <si>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</si>
  <si>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</si>
  <si>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</si>
  <si>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</si>
  <si>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</si>
  <si>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</si>
  <si>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</si>
  <si>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</si>
  <si>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</si>
  <si>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</si>
  <si>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</si>
  <si>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</si>
  <si>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</si>
  <si>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</si>
  <si>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</si>
  <si>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</si>
  <si>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</si>
  <si>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</si>
  <si>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</si>
  <si>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</si>
  <si>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</si>
  <si>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</si>
  <si>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</si>
  <si>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</si>
  <si>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</si>
  <si>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</si>
  <si>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</si>
  <si>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</si>
  <si>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</si>
  <si>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</si>
  <si>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</si>
  <si>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</si>
  <si>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</si>
  <si>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</si>
  <si>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</si>
  <si>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</si>
  <si>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</si>
  <si>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</si>
  <si>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</si>
  <si>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</si>
  <si>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</si>
  <si>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</si>
  <si>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</si>
  <si>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</si>
  <si>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</si>
  <si>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</si>
  <si>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</si>
  <si>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</si>
  <si>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</si>
  <si>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</si>
  <si>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</si>
  <si>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</si>
  <si>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</si>
  <si>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</si>
  <si>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</si>
  <si>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</si>
  <si>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</si>
  <si>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</si>
  <si>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</si>
  <si>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</si>
  <si>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</si>
  <si>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</si>
  <si>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</si>
  <si>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</si>
  <si>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</si>
  <si>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</si>
  <si>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</si>
  <si>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</si>
  <si>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</si>
  <si>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</si>
  <si>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</si>
  <si>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</si>
  <si>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</si>
  <si>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</si>
  <si>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</si>
  <si>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</si>
  <si>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</si>
  <si>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</si>
  <si>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</si>
  <si>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</si>
  <si>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</si>
  <si>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</si>
  <si>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</si>
  <si>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</si>
  <si>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</si>
  <si>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</si>
  <si>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</si>
  <si>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</si>
  <si>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</si>
  <si>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</si>
  <si>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</si>
  <si>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</si>
  <si>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</si>
  <si>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</si>
  <si>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</si>
  <si>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</si>
  <si>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</si>
  <si>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</si>
  <si>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</si>
  <si>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</si>
  <si>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</si>
  <si>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</si>
  <si>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</si>
  <si>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</si>
  <si>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</si>
  <si>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</si>
  <si>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</si>
  <si>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</si>
  <si>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</si>
  <si>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</si>
  <si>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</si>
  <si>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</si>
  <si>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</si>
  <si>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</si>
  <si>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</si>
  <si>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</si>
  <si>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</si>
  <si>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</si>
  <si>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</si>
  <si>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</si>
  <si>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</si>
  <si>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</si>
  <si>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</si>
  <si>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</si>
  <si>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</si>
  <si>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</si>
  <si>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</si>
  <si>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</si>
  <si>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</si>
  <si>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</si>
  <si>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</si>
  <si>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</si>
  <si>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</si>
  <si>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</si>
  <si>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</si>
  <si>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</si>
  <si>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</si>
  <si>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</si>
  <si>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</si>
  <si>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</si>
  <si>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</si>
  <si>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</si>
  <si>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</si>
  <si>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</si>
  <si>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</si>
  <si>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</si>
  <si>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</si>
  <si>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</si>
  <si>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</si>
  <si>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</si>
  <si>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</si>
  <si>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</si>
  <si>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</si>
  <si>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</si>
  <si>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</si>
  <si>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</si>
  <si>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</si>
  <si>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</si>
  <si>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</si>
  <si>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</si>
  <si>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</si>
  <si>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</si>
  <si>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</si>
  <si>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</si>
  <si>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</si>
  <si>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</si>
  <si>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</si>
  <si>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</si>
  <si>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</si>
  <si>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</si>
  <si>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</si>
  <si>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</si>
  <si>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</si>
  <si>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</si>
  <si>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</si>
  <si>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</si>
  <si>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</si>
  <si>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</si>
  <si>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</si>
  <si>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</si>
  <si>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</si>
  <si>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</si>
  <si>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</si>
  <si>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</si>
  <si>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</si>
  <si>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</si>
  <si>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</si>
  <si>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</si>
  <si>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</si>
  <si>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</si>
  <si>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</si>
  <si>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</si>
  <si>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</si>
  <si>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</si>
  <si>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</si>
  <si>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</si>
  <si>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</si>
  <si>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</si>
  <si>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</si>
  <si>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</si>
  <si>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</si>
  <si>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</si>
  <si>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</si>
  <si>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</si>
  <si>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</si>
  <si>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</si>
  <si>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</si>
  <si>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</si>
  <si>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</si>
  <si>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</si>
  <si>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</si>
  <si>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</si>
  <si>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</si>
  <si>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</si>
  <si>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</si>
  <si>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</si>
  <si>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</si>
  <si>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</si>
  <si>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</si>
  <si>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</si>
  <si>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</si>
  <si>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</si>
  <si>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</si>
  <si>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</si>
  <si>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</si>
  <si>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</si>
  <si>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</si>
  <si>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</si>
  <si>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</si>
  <si>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</si>
  <si>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</si>
  <si>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</si>
  <si>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</si>
  <si>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</si>
  <si>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</si>
  <si>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</si>
  <si>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</si>
  <si>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</si>
  <si>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</si>
  <si>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</si>
  <si>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</si>
  <si>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</si>
  <si>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</si>
  <si>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</si>
  <si>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</si>
  <si>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</si>
  <si>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</si>
  <si>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</si>
  <si>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</si>
  <si>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</si>
  <si>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</si>
  <si>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</si>
  <si>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</si>
  <si>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</si>
  <si>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</si>
  <si>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</si>
  <si>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</si>
  <si>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</si>
  <si>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</si>
  <si>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</si>
  <si>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</si>
  <si>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</si>
  <si>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</si>
  <si>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</si>
  <si>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</si>
  <si>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</si>
  <si>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</si>
  <si>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</si>
  <si>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</si>
  <si>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</si>
  <si>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</si>
  <si>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</si>
  <si>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</si>
  <si>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</si>
  <si>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</si>
  <si>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</si>
  <si>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</si>
  <si>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</si>
  <si>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</si>
  <si>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</si>
  <si>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</si>
  <si>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</si>
  <si>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</si>
  <si>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</si>
  <si>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</si>
  <si>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</si>
  <si>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</si>
  <si>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</si>
  <si>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</si>
  <si>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</si>
  <si>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</si>
  <si>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</si>
  <si>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</si>
  <si>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</si>
  <si>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</si>
  <si>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</si>
  <si>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</si>
  <si>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</si>
  <si>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</si>
  <si>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</si>
  <si>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</si>
  <si>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</si>
  <si>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</si>
  <si>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</si>
  <si>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</si>
  <si>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</si>
  <si>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</si>
  <si>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</si>
  <si>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</si>
  <si>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</si>
  <si>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</si>
  <si>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</si>
  <si>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</si>
  <si>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</si>
  <si>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</si>
  <si>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</si>
  <si>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</si>
  <si>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</si>
  <si>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</si>
  <si>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</si>
  <si>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</si>
  <si>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</si>
  <si>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</si>
  <si>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</si>
  <si>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</si>
  <si>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</si>
  <si>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</si>
  <si>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</si>
  <si>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</si>
  <si>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</si>
  <si>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</si>
  <si>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</si>
  <si>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</si>
  <si>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</si>
  <si>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</si>
  <si>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</si>
  <si>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</si>
  <si>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</si>
  <si>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</si>
  <si>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</si>
  <si>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</si>
  <si>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</si>
  <si>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</si>
  <si>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</si>
  <si>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</si>
  <si>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</si>
  <si>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</si>
  <si>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</si>
  <si>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</si>
  <si>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</si>
  <si>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</si>
  <si>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</si>
  <si>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</si>
  <si>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</si>
  <si>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</si>
  <si>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</si>
  <si>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</si>
  <si>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</si>
  <si>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</si>
  <si>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</si>
  <si>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</si>
  <si>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</si>
  <si>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</si>
  <si>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</si>
  <si>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</si>
  <si>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</si>
  <si>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</si>
  <si>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</si>
  <si>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</si>
  <si>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</si>
  <si>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</si>
  <si>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</si>
  <si>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</si>
  <si>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</si>
  <si>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</si>
  <si>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</si>
  <si>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</si>
  <si>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</si>
  <si>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</si>
  <si>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</si>
  <si>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</si>
  <si>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</si>
  <si>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</si>
  <si>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</si>
  <si>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</si>
  <si>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</si>
  <si>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</si>
  <si>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</si>
  <si>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</si>
  <si>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</si>
  <si>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</si>
  <si>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</si>
  <si>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</si>
  <si>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</si>
  <si>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</si>
  <si>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</si>
  <si>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</si>
  <si>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</si>
  <si>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</si>
  <si>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</si>
  <si>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</si>
  <si>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</si>
  <si>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</si>
  <si>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</si>
  <si>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</si>
  <si>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</si>
  <si>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</si>
  <si>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</si>
  <si>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</si>
  <si>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</si>
  <si>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</si>
  <si>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</si>
  <si>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</si>
  <si>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</si>
  <si>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</si>
  <si>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</si>
  <si>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</si>
  <si>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</si>
  <si>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</si>
  <si>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</si>
  <si>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</si>
  <si>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</si>
  <si>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</si>
  <si>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</si>
  <si>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</si>
  <si>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</si>
  <si>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</si>
  <si>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</si>
  <si>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</si>
  <si>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</si>
  <si>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</si>
  <si>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</si>
  <si>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</si>
  <si>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</si>
  <si>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</si>
  <si>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</si>
  <si>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</si>
  <si>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</si>
  <si>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</si>
  <si>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</si>
  <si>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</si>
  <si>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</si>
  <si>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</si>
  <si>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</si>
  <si>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</si>
  <si>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</si>
  <si>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</si>
  <si>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</si>
  <si>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</si>
  <si>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</si>
  <si>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</si>
  <si>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</si>
  <si>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</si>
  <si>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</si>
  <si>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</si>
  <si>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</si>
  <si>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</si>
  <si>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</si>
  <si>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</si>
  <si>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</si>
  <si>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</si>
  <si>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</si>
  <si>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</si>
  <si>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</si>
  <si>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</si>
  <si>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</si>
  <si>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</si>
  <si>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</si>
  <si>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</si>
  <si>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</si>
  <si>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</si>
  <si>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</si>
  <si>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</si>
  <si>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</si>
  <si>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</si>
  <si>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</si>
  <si>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</si>
  <si>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</si>
  <si>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</si>
  <si>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</si>
  <si>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</si>
  <si>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</si>
  <si>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</si>
  <si>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</si>
  <si>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</si>
  <si>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</si>
  <si>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</si>
  <si>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</si>
  <si>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</si>
  <si>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</si>
  <si>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</si>
  <si>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</si>
  <si>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</si>
  <si>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</si>
  <si>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</si>
  <si>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</si>
  <si>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</si>
  <si>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</si>
  <si>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</si>
  <si>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</si>
  <si>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</si>
  <si>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</si>
  <si>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</si>
  <si>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</si>
  <si>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</si>
  <si>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</si>
  <si>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</si>
  <si>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</si>
  <si>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</si>
  <si>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</si>
  <si>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</si>
  <si>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</si>
  <si>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</si>
  <si>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</si>
  <si>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</si>
  <si>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</si>
  <si>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</si>
  <si>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</si>
  <si>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</si>
  <si>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</si>
  <si>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</si>
  <si>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</si>
  <si>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</si>
  <si>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</si>
  <si>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</si>
  <si>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</si>
  <si>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</si>
  <si>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</si>
  <si>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</si>
  <si>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</si>
  <si>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</si>
  <si>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</si>
  <si>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</si>
  <si>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</si>
  <si>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</si>
  <si>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</si>
  <si>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</si>
  <si>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</si>
  <si>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</si>
  <si>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</si>
  <si>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</si>
  <si>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</si>
  <si>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</si>
  <si>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</si>
  <si>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</si>
  <si>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</si>
  <si>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</si>
  <si>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</si>
  <si>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</si>
  <si>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</si>
  <si>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</si>
  <si>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</si>
  <si>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</si>
  <si>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</si>
  <si>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</si>
  <si>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</si>
  <si>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</si>
  <si>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</si>
  <si>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</si>
  <si>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</si>
  <si>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</si>
  <si>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</si>
  <si>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</si>
  <si>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</si>
  <si>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</si>
  <si>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</si>
  <si>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</si>
  <si>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</si>
  <si>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</si>
  <si>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</si>
  <si>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</si>
  <si>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</si>
  <si>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</si>
  <si>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</si>
  <si>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</si>
  <si>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</si>
  <si>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</si>
  <si>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</si>
  <si>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</si>
  <si>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</si>
  <si>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</si>
  <si>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</si>
  <si>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</si>
  <si>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</si>
  <si>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</si>
  <si>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</si>
  <si>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</si>
  <si>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</si>
  <si>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</si>
  <si>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</si>
  <si>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</si>
  <si>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</si>
  <si>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</si>
  <si>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</si>
  <si>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</si>
  <si>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</si>
  <si>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</si>
  <si>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</si>
  <si>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</si>
  <si>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</si>
  <si>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</si>
  <si>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</si>
  <si>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</si>
  <si>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</si>
  <si>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</si>
  <si>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</si>
  <si>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</si>
  <si>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</si>
  <si>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</si>
  <si>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</si>
  <si>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</si>
  <si>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</si>
  <si>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</si>
  <si>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</si>
  <si>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</si>
  <si>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</si>
  <si>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</si>
  <si>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</si>
  <si>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</si>
  <si>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</si>
  <si>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</si>
  <si>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</si>
  <si>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</si>
  <si>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</si>
  <si>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</si>
  <si>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</si>
  <si>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</si>
  <si>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</si>
  <si>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</si>
  <si>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</si>
  <si>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</si>
  <si>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</si>
  <si>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</si>
  <si>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</si>
  <si>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</si>
  <si>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</si>
  <si>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</si>
  <si>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</si>
  <si>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</si>
  <si>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</si>
  <si>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</si>
  <si>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</si>
  <si>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</si>
  <si>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</si>
  <si>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</si>
  <si>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</si>
  <si>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</si>
  <si>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</si>
  <si>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</si>
  <si>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</si>
  <si>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</si>
  <si>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</si>
  <si>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</si>
  <si>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</si>
  <si>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</si>
  <si>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</si>
  <si>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</si>
  <si>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</si>
  <si>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</si>
  <si>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</si>
  <si>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</si>
  <si>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</si>
  <si>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</si>
  <si>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</si>
  <si>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</si>
  <si>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</si>
  <si>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</si>
  <si>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</si>
  <si>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</si>
  <si>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</si>
  <si>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</si>
  <si>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</si>
  <si>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</si>
  <si>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</si>
  <si>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</si>
  <si>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</si>
  <si>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</si>
  <si>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</si>
  <si>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</si>
  <si>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</si>
  <si>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</si>
  <si>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</si>
  <si>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</si>
  <si>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</si>
  <si>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</si>
  <si>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</si>
  <si>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</si>
  <si>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</si>
  <si>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</si>
  <si>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</si>
  <si>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</si>
  <si>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</si>
  <si>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</si>
  <si>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</si>
  <si>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</si>
  <si>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</si>
  <si>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</si>
  <si>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</si>
  <si>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</si>
  <si>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</si>
  <si>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</si>
  <si>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</si>
  <si>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</si>
  <si>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</si>
  <si>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</si>
  <si>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</si>
  <si>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</si>
  <si>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</si>
  <si>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</si>
  <si>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</si>
  <si>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</si>
  <si>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</si>
  <si>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</si>
  <si>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</si>
  <si>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</si>
  <si>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</si>
  <si>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</si>
  <si>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</si>
  <si>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</si>
  <si>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</si>
  <si>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</si>
  <si>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</si>
  <si>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</si>
  <si>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</si>
  <si>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</si>
  <si>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</si>
  <si>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</si>
  <si>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</si>
  <si>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</si>
  <si>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</si>
  <si>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</si>
  <si>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</si>
  <si>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</si>
  <si>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</si>
  <si>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</si>
  <si>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</si>
  <si>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</si>
  <si>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</si>
  <si>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</si>
  <si>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</si>
  <si>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</si>
  <si>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</si>
  <si>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</si>
  <si>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</si>
  <si>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</si>
  <si>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</si>
  <si>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</si>
  <si>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</si>
  <si>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</si>
  <si>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</si>
  <si>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</si>
  <si>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</si>
  <si>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</si>
  <si>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</si>
  <si>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</si>
  <si>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</si>
  <si>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</si>
  <si>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</si>
  <si>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</si>
  <si>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</si>
  <si>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</si>
  <si>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</si>
  <si>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</si>
  <si>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</si>
  <si>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</si>
  <si>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</si>
  <si>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</si>
  <si>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</si>
  <si>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</si>
  <si>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</si>
  <si>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</si>
  <si>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</si>
  <si>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</si>
  <si>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</si>
  <si>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</si>
  <si>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</si>
  <si>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</si>
  <si>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</si>
  <si>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</si>
  <si>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</si>
  <si>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</si>
  <si>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</si>
  <si>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</si>
  <si>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</si>
  <si>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</si>
  <si>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</si>
  <si>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</si>
  <si>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</si>
  <si>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</si>
  <si>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</si>
  <si>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</si>
  <si>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</si>
  <si>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</si>
  <si>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</si>
  <si>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</si>
  <si>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</si>
  <si>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</si>
  <si>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</si>
  <si>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</si>
  <si>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</si>
  <si>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</si>
  <si>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</si>
  <si>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</si>
  <si>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</si>
  <si>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</si>
  <si>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</si>
  <si>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</si>
  <si>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</si>
  <si>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</si>
  <si>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</si>
  <si>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</si>
  <si>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</si>
  <si>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</si>
  <si>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</si>
  <si>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</si>
  <si>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</si>
  <si>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</si>
  <si>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</si>
  <si>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</si>
  <si>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</si>
  <si>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</si>
  <si>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</si>
  <si>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</si>
  <si>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</si>
  <si>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</si>
  <si>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</si>
  <si>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</si>
  <si>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</si>
  <si>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</si>
  <si>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</si>
  <si>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</si>
  <si>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</si>
  <si>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</si>
  <si>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</si>
  <si>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</si>
  <si>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</si>
  <si>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</si>
  <si>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</si>
  <si>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</si>
  <si>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</si>
  <si>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</si>
  <si>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</si>
  <si>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</si>
  <si>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</si>
  <si>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</si>
  <si>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</si>
  <si>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</si>
  <si>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</si>
  <si>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</si>
  <si>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</si>
  <si>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</si>
  <si>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</si>
  <si>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</si>
  <si>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</si>
  <si>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</si>
  <si>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</si>
  <si>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</si>
  <si>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</si>
  <si>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</si>
  <si>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</si>
  <si>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</si>
  <si>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</si>
  <si>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</si>
  <si>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</si>
  <si>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</si>
  <si>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</si>
  <si>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</si>
  <si>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</si>
  <si>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</si>
  <si>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</si>
  <si>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</si>
  <si>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</si>
  <si>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</si>
  <si>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</si>
  <si>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</si>
  <si>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</si>
  <si>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</si>
  <si>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</si>
  <si>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</si>
  <si>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</si>
  <si>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</si>
  <si>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</si>
  <si>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</si>
  <si>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</si>
  <si>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</si>
  <si>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</si>
  <si>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</si>
  <si>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</si>
  <si>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</si>
  <si>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</si>
  <si>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</si>
  <si>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</si>
  <si>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</si>
  <si>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</si>
  <si>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</si>
  <si>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</si>
  <si>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</si>
  <si>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</si>
  <si>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</si>
  <si>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</si>
  <si>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</si>
  <si>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</si>
  <si>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</si>
  <si>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</si>
  <si>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</si>
  <si>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</si>
  <si>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</si>
  <si>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</si>
  <si>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</si>
  <si>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</si>
  <si>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</si>
  <si>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</si>
  <si>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</si>
  <si>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</si>
  <si>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</si>
  <si>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</si>
  <si>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</si>
  <si>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</si>
  <si>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</si>
  <si>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</si>
  <si>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</si>
  <si>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</si>
  <si>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</si>
  <si>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</si>
  <si>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</si>
  <si>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</si>
  <si>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</si>
  <si>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</si>
  <si>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</si>
  <si>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</si>
  <si>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</si>
  <si>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</si>
  <si>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</si>
  <si>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</si>
  <si>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</si>
  <si>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</si>
  <si>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</si>
  <si>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</si>
  <si>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</si>
  <si>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</si>
  <si>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</si>
  <si>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</si>
  <si>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</si>
  <si>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</si>
  <si>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</si>
  <si>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</si>
  <si>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</si>
  <si>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</si>
  <si>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</si>
  <si>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</si>
  <si>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</si>
  <si>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</si>
  <si>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</si>
  <si>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</si>
  <si>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</si>
  <si>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</si>
  <si>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</si>
  <si>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</si>
  <si>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</si>
  <si>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</si>
  <si>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</si>
  <si>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</si>
  <si>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</si>
  <si>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</si>
  <si>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</si>
  <si>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</si>
  <si>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</si>
  <si>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</si>
  <si>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</si>
  <si>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</si>
  <si>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</si>
  <si>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</si>
  <si>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</si>
  <si>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</si>
  <si>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</si>
  <si>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</si>
  <si>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</si>
  <si>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</si>
  <si>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</si>
  <si>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</si>
  <si>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</si>
  <si>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</si>
  <si>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</si>
  <si>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</si>
  <si>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</si>
  <si>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</si>
  <si>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</si>
  <si>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</si>
  <si>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</si>
  <si>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</si>
  <si>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</si>
  <si>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</si>
  <si>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</si>
  <si>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</si>
  <si>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</si>
  <si>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</si>
  <si>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</si>
  <si>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</si>
  <si>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</si>
  <si>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</si>
  <si>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</si>
  <si>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</si>
  <si>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</si>
  <si>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</si>
  <si>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</si>
  <si>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</si>
  <si>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</si>
  <si>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</si>
  <si>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</si>
  <si>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</si>
  <si>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</si>
  <si>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</si>
  <si>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</si>
  <si>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</si>
  <si>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</si>
  <si>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</si>
  <si>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</si>
  <si>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</si>
  <si>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</si>
  <si>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</si>
  <si>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</si>
  <si>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</si>
  <si>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</si>
  <si>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</si>
  <si>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</si>
  <si>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</si>
  <si>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</si>
  <si>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</si>
  <si>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</si>
  <si>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</si>
  <si>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</si>
  <si>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</si>
  <si>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</si>
  <si>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</si>
  <si>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</si>
  <si>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</si>
  <si>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</si>
  <si>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</si>
  <si>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</si>
  <si>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</si>
  <si>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</si>
  <si>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</si>
  <si>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</si>
  <si>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</si>
  <si>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</si>
  <si>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</si>
  <si>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</si>
  <si>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</si>
  <si>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</si>
  <si>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</si>
  <si>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</si>
  <si>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</si>
  <si>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</si>
  <si>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</si>
  <si>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</si>
  <si>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</si>
  <si>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</si>
  <si>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</si>
  <si>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</si>
  <si>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</si>
  <si>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</si>
  <si>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</si>
  <si>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</si>
  <si>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</si>
  <si>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</si>
  <si>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</si>
  <si>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</si>
  <si>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</si>
  <si>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</si>
  <si>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</si>
  <si>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</si>
  <si>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</si>
  <si>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</si>
  <si>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</si>
  <si>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</si>
  <si>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</si>
  <si>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</si>
  <si>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</si>
  <si>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</si>
  <si>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</si>
  <si>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</si>
  <si>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</si>
  <si>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</si>
  <si>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</si>
  <si>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</si>
  <si>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</si>
  <si>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</si>
  <si>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</si>
  <si>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</si>
  <si>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</si>
  <si>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</si>
  <si>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</si>
  <si>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</si>
  <si>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</si>
  <si>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</si>
  <si>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</si>
  <si>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</si>
  <si>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</si>
  <si>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</si>
  <si>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</si>
  <si>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</si>
  <si>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</si>
  <si>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</si>
  <si>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</si>
  <si>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</si>
  <si>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</si>
  <si>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</si>
  <si>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</si>
  <si>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</si>
  <si>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</si>
  <si>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</si>
  <si>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</si>
  <si>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</si>
  <si>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</si>
  <si>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</si>
  <si>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</si>
  <si>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</si>
  <si>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</si>
  <si>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</si>
  <si>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</si>
  <si>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</si>
  <si>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</si>
  <si>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</si>
  <si>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</si>
  <si>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</si>
  <si>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</si>
  <si>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</si>
  <si>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</si>
  <si>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</si>
  <si>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</si>
  <si>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</si>
  <si>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</si>
  <si>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</si>
  <si>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</si>
  <si>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</si>
  <si>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</si>
  <si>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</si>
  <si>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</si>
  <si>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</si>
  <si>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</si>
  <si>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</si>
  <si>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</si>
  <si>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</si>
  <si>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</si>
  <si>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</si>
  <si>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</si>
  <si>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</si>
  <si>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</si>
  <si>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</si>
  <si>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</si>
  <si>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</si>
  <si>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</si>
  <si>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</si>
  <si>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</si>
  <si>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</si>
  <si>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</si>
  <si>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</si>
  <si>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</si>
  <si>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</si>
  <si>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</si>
  <si>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</si>
  <si>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</si>
  <si>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</si>
  <si>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</si>
  <si>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</si>
  <si>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</si>
  <si>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</si>
  <si>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</si>
  <si>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</si>
  <si>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</si>
  <si>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</si>
  <si>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</si>
  <si>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</si>
  <si>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</si>
  <si>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</si>
  <si>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</si>
  <si>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</si>
  <si>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</si>
  <si>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</si>
  <si>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</si>
  <si>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</si>
  <si>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</si>
  <si>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</si>
  <si>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</si>
  <si>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</si>
  <si>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</si>
  <si>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</si>
  <si>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</si>
  <si>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</si>
  <si>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</si>
  <si>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</si>
  <si>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</si>
  <si>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</si>
  <si>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</si>
  <si>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</si>
  <si>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</si>
  <si>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</si>
  <si>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</si>
  <si>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</si>
  <si>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</si>
  <si>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</si>
  <si>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</si>
  <si>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</si>
  <si>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</si>
  <si>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</si>
  <si>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</si>
  <si>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</si>
  <si>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</si>
  <si>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</si>
  <si>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</si>
  <si>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</si>
  <si>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</si>
  <si>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</si>
  <si>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</si>
  <si>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</si>
  <si>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</si>
  <si>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</si>
  <si>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</si>
  <si>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</si>
  <si>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</si>
  <si>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</si>
  <si>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</si>
  <si>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</si>
  <si>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</si>
  <si>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</si>
  <si>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</si>
  <si>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</si>
  <si>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</si>
  <si>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</si>
  <si>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</si>
  <si>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</si>
  <si>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</si>
  <si>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</si>
  <si>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</si>
  <si>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</si>
  <si>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</si>
  <si>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</si>
  <si>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</si>
  <si>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</si>
  <si>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</si>
  <si>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</si>
  <si>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</si>
  <si>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</si>
  <si>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</si>
  <si>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</si>
  <si>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</si>
  <si>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</si>
  <si>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</si>
  <si>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</si>
  <si>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</si>
  <si>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</si>
  <si>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</si>
  <si>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</si>
  <si>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</si>
  <si>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</si>
  <si>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</si>
  <si>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</si>
  <si>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</si>
  <si>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</si>
  <si>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</si>
  <si>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</si>
  <si>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</si>
  <si>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</si>
  <si>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</si>
  <si>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</si>
  <si>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</si>
  <si>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</si>
  <si>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</si>
  <si>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</si>
  <si>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</si>
  <si>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</si>
  <si>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</si>
  <si>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</si>
  <si>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</si>
  <si>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</si>
  <si>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</si>
  <si>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</si>
  <si>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</si>
  <si>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</si>
  <si>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</si>
  <si>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</si>
  <si>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</si>
  <si>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</si>
  <si>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</si>
  <si>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</si>
  <si>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</si>
  <si>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</si>
  <si>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</si>
  <si>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</si>
  <si>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</si>
  <si>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</si>
  <si>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</si>
  <si>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</si>
  <si>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</si>
  <si>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</si>
  <si>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</si>
  <si>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</si>
  <si>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</si>
  <si>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</si>
  <si>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</si>
  <si>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</si>
  <si>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</si>
  <si>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</si>
  <si>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</si>
  <si>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</si>
  <si>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</si>
  <si>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</si>
  <si>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</si>
  <si>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</si>
  <si>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</si>
  <si>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</si>
  <si>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</si>
  <si>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</si>
  <si>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</si>
  <si>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</si>
  <si>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</si>
  <si>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</si>
  <si>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</si>
  <si>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</si>
  <si>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</si>
  <si>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</si>
  <si>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</si>
  <si>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</si>
  <si>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</si>
  <si>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</si>
  <si>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</si>
  <si>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</si>
  <si>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</si>
  <si>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</si>
  <si>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</si>
  <si>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</si>
  <si>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</si>
  <si>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</si>
  <si>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</si>
  <si>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</si>
  <si>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</si>
  <si>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</si>
  <si>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</si>
  <si>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</si>
  <si>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</si>
  <si>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</si>
  <si>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</si>
  <si>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</si>
  <si>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</si>
  <si>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</si>
  <si>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</si>
  <si>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</si>
  <si>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</si>
  <si>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</si>
  <si>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</si>
  <si>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</si>
  <si>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</si>
  <si>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</si>
  <si>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</si>
  <si>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</si>
  <si>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</si>
  <si>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</si>
  <si>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</si>
  <si>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</si>
  <si>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</si>
  <si>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</si>
  <si>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</si>
  <si>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</si>
  <si>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</si>
  <si>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</si>
  <si>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</si>
  <si>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</si>
  <si>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</si>
  <si>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</si>
  <si>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</si>
  <si>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</si>
  <si>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</si>
  <si>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</si>
  <si>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</si>
  <si>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</si>
  <si>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</si>
  <si>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</si>
  <si>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</si>
  <si>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</si>
  <si>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</si>
  <si>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</si>
  <si>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</si>
  <si>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</si>
  <si>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</si>
  <si>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</si>
  <si>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</si>
  <si>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</si>
  <si>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</si>
  <si>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</si>
  <si>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</si>
  <si>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</si>
  <si>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</si>
  <si>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</si>
  <si>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</si>
  <si>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</si>
  <si>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</si>
  <si>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</si>
  <si>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</si>
  <si>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</si>
  <si>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</si>
  <si>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</si>
  <si>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</si>
  <si>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</si>
  <si>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</si>
  <si>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</si>
  <si>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</si>
  <si>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</si>
  <si>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</si>
  <si>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</si>
  <si>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</si>
  <si>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</si>
  <si>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</si>
  <si>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</si>
  <si>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</si>
  <si>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</si>
  <si>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</si>
  <si>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</si>
  <si>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</si>
  <si>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</si>
  <si>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</si>
  <si>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</si>
  <si>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</si>
  <si>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</si>
  <si>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</si>
  <si>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</si>
  <si>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</si>
  <si>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</si>
  <si>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</si>
  <si>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</si>
  <si>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</si>
  <si>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</si>
  <si>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</si>
  <si>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</si>
  <si>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</si>
  <si>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</si>
  <si>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</si>
  <si>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</si>
  <si>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</si>
  <si>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</si>
  <si>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</si>
  <si>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</si>
  <si>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</si>
  <si>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</si>
  <si>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</si>
  <si>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</si>
  <si>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</si>
  <si>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</si>
  <si>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</si>
  <si>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</si>
  <si>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</si>
  <si>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</si>
  <si>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</si>
  <si>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</si>
  <si>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</si>
  <si>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</si>
  <si>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</si>
  <si>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</si>
  <si>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</si>
  <si>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</si>
  <si>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</si>
  <si>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</si>
  <si>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</si>
  <si>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</si>
  <si>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</si>
  <si>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</si>
  <si>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</si>
  <si>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</si>
  <si>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</si>
  <si>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</si>
  <si>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</si>
  <si>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</si>
  <si>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</si>
  <si>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</si>
  <si>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</si>
  <si>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</si>
  <si>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</si>
  <si>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</si>
  <si>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</si>
  <si>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</si>
  <si>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</si>
  <si>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</si>
  <si>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</si>
  <si>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</si>
  <si>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</si>
  <si>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</si>
  <si>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</si>
  <si>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</si>
  <si>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</si>
  <si>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</si>
  <si>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</si>
  <si>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</si>
  <si>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</si>
  <si>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</si>
  <si>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</si>
  <si>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</si>
  <si>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</si>
  <si>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</si>
  <si>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</si>
  <si>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</si>
  <si>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</si>
  <si>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</si>
  <si>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</si>
  <si>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</si>
  <si>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</si>
  <si>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</si>
  <si>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</si>
  <si>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</si>
  <si>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</si>
  <si>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</si>
  <si>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</si>
  <si>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</si>
  <si>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</si>
  <si>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</si>
  <si>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</si>
  <si>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</si>
  <si>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</si>
  <si>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</si>
  <si>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</si>
  <si>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</si>
  <si>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</si>
  <si>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</si>
  <si>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</si>
  <si>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</si>
  <si>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</si>
  <si>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</si>
  <si>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</si>
  <si>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</si>
  <si>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</si>
  <si>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</si>
  <si>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</si>
  <si>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</si>
  <si>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</si>
  <si>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</si>
  <si>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</si>
  <si>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</si>
  <si>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</si>
  <si>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</si>
  <si>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</si>
  <si>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</si>
  <si>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</si>
  <si>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</si>
  <si>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</si>
  <si>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</si>
  <si>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</si>
  <si>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</si>
  <si>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</si>
  <si>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</si>
  <si>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</si>
  <si>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</si>
  <si>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</si>
  <si>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</si>
  <si>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</si>
  <si>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</si>
  <si>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</si>
  <si>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</si>
  <si>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</si>
  <si>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</si>
  <si>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</si>
  <si>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</si>
  <si>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</si>
  <si>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</si>
  <si>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</si>
  <si>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</si>
  <si>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</si>
  <si>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</si>
  <si>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</si>
  <si>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</si>
  <si>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</si>
  <si>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</si>
  <si>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</si>
  <si>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</si>
  <si>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</si>
  <si>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</si>
  <si>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</si>
  <si>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</si>
  <si>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</si>
  <si>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</si>
  <si>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</si>
  <si>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</si>
  <si>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</si>
  <si>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</si>
  <si>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</si>
  <si>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</si>
  <si>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</si>
  <si>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</si>
  <si>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</si>
  <si>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</si>
  <si>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</si>
  <si>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</si>
  <si>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</si>
  <si>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</si>
  <si>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</si>
  <si>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</si>
  <si>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</si>
  <si>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</si>
  <si>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</si>
  <si>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</si>
  <si>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</si>
  <si>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</si>
  <si>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</si>
  <si>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</si>
  <si>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</si>
  <si>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</si>
  <si>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</si>
  <si>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</si>
  <si>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</si>
  <si>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</si>
  <si>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</si>
  <si>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</si>
  <si>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</si>
  <si>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</si>
  <si>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</si>
  <si>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</si>
  <si>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</si>
  <si>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</si>
  <si>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</si>
  <si>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</si>
  <si>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</si>
  <si>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</si>
  <si>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</si>
  <si>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</si>
  <si>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</si>
  <si>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</si>
  <si>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</si>
  <si>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</si>
  <si>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</si>
  <si>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</si>
  <si>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</si>
  <si>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</si>
  <si>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</si>
  <si>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</si>
  <si>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</si>
  <si>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</si>
  <si>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</si>
  <si>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</si>
  <si>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</si>
  <si>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</si>
  <si>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</si>
  <si>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</si>
  <si>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</si>
  <si>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</si>
  <si>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</si>
  <si>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</si>
  <si>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</si>
  <si>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</si>
  <si>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</si>
  <si>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</si>
  <si>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</si>
  <si>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</si>
  <si>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</si>
  <si>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</si>
  <si>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</si>
  <si>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</si>
  <si>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</si>
  <si>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</si>
  <si>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</si>
  <si>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</si>
  <si>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</si>
  <si>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</si>
  <si>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</si>
  <si>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</si>
  <si>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</si>
  <si>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</si>
  <si>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</si>
  <si>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</si>
  <si>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</si>
  <si>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</si>
  <si>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</si>
  <si>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</si>
  <si>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</si>
  <si>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</si>
  <si>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</si>
  <si>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</si>
  <si>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</si>
  <si>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</si>
  <si>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</si>
  <si>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</si>
  <si>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</si>
  <si>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</si>
  <si>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</si>
  <si>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</si>
  <si>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</si>
  <si>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</si>
  <si>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</si>
  <si>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</si>
  <si>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</si>
  <si>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</si>
  <si>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</si>
  <si>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</si>
  <si>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</si>
  <si>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</si>
  <si>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</si>
  <si>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</si>
  <si>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</si>
  <si>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</si>
  <si>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</si>
  <si>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</si>
  <si>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</si>
  <si>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</si>
  <si>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</si>
  <si>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</si>
  <si>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</si>
  <si>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</si>
  <si>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</si>
  <si>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</si>
  <si>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</si>
  <si>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</si>
  <si>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</si>
  <si>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</si>
  <si>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</si>
  <si>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</si>
  <si>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</si>
  <si>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</si>
  <si>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</si>
  <si>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</si>
  <si>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</si>
  <si>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</si>
  <si>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</si>
  <si>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</si>
  <si>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</si>
  <si>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</si>
  <si>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</si>
  <si>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</si>
  <si>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</si>
  <si>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</si>
  <si>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</si>
  <si>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</si>
  <si>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</si>
  <si>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</si>
  <si>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</si>
  <si>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</si>
  <si>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</si>
  <si>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</si>
  <si>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</si>
  <si>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</si>
  <si>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</si>
  <si>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</si>
  <si>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</si>
  <si>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</si>
  <si>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</si>
  <si>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</si>
  <si>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</si>
  <si>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</si>
  <si>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</si>
  <si>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</si>
  <si>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</si>
  <si>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</si>
  <si>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</si>
  <si>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</si>
  <si>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</si>
  <si>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</si>
  <si>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</si>
  <si>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</si>
  <si>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</si>
  <si>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</si>
  <si>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</si>
  <si>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</si>
  <si>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</si>
  <si>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</si>
  <si>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</si>
  <si>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</si>
  <si>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</si>
  <si>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</si>
  <si>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</si>
  <si>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</si>
  <si>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</si>
  <si>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</si>
  <si>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</si>
  <si>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</si>
  <si>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</si>
  <si>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</si>
  <si>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</si>
  <si>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</si>
  <si>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</si>
  <si>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</si>
  <si>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</si>
  <si>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</si>
  <si>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</si>
  <si>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</si>
  <si>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</si>
  <si>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</si>
  <si>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</si>
  <si>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</si>
  <si>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</si>
  <si>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</si>
  <si>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</si>
  <si>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</si>
  <si>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</si>
  <si>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</si>
  <si>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</si>
  <si>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</si>
  <si>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</si>
  <si>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</si>
  <si>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</si>
  <si>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</si>
  <si>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</si>
  <si>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</si>
  <si>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</si>
  <si>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</si>
  <si>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</si>
  <si>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</si>
  <si>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</si>
  <si>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</si>
  <si>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</si>
  <si>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</si>
  <si>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</si>
  <si>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</si>
  <si>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</si>
  <si>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</si>
  <si>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</si>
  <si>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</si>
  <si>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</si>
  <si>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</si>
  <si>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</si>
  <si>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</si>
  <si>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</si>
  <si>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</si>
  <si>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</si>
  <si>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</si>
  <si>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</si>
  <si>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</si>
  <si>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</si>
  <si>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</si>
  <si>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</si>
  <si>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</si>
  <si>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</si>
  <si>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</si>
  <si>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</si>
  <si>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</si>
  <si>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</si>
  <si>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</si>
  <si>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</si>
  <si>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</si>
  <si>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</si>
  <si>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</si>
  <si>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</si>
  <si>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</si>
  <si>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</si>
  <si>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</si>
  <si>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</si>
  <si>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</si>
  <si>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</si>
  <si>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</si>
  <si>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</si>
  <si>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</si>
  <si>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</si>
  <si>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</si>
  <si>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</si>
  <si>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</si>
  <si>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</si>
  <si>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</si>
  <si>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</si>
  <si>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</si>
  <si>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</si>
  <si>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</si>
  <si>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</si>
  <si>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</si>
  <si>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</si>
  <si>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</si>
  <si>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</si>
  <si>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</si>
  <si>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</si>
  <si>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</si>
  <si>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</si>
  <si>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</si>
  <si>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</si>
  <si>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</si>
  <si>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</si>
  <si>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</si>
  <si>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</si>
  <si>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</si>
  <si>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</si>
  <si>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</si>
  <si>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</si>
  <si>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</si>
  <si>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</si>
  <si>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</si>
  <si>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</si>
  <si>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</si>
  <si>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</si>
  <si>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</si>
  <si>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</si>
  <si>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</si>
  <si>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</si>
  <si>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</si>
  <si>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</si>
  <si>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</si>
  <si>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</si>
  <si>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</si>
  <si>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</si>
  <si>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</si>
  <si>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</si>
  <si>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</si>
  <si>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</si>
  <si>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</si>
  <si>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</si>
  <si>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</si>
  <si>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</si>
  <si>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</si>
  <si>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</si>
  <si>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</si>
  <si>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</si>
  <si>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</si>
  <si>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</si>
  <si>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</si>
  <si>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</si>
  <si>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</si>
  <si>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</si>
  <si>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</si>
  <si>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</si>
  <si>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</si>
  <si>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</si>
  <si>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</si>
  <si>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</si>
  <si>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</si>
  <si>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</si>
  <si>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</si>
  <si>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</si>
  <si>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</si>
  <si>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</si>
  <si>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</si>
  <si>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</si>
  <si>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</si>
  <si>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</si>
  <si>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</si>
  <si>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</si>
  <si>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</si>
  <si>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</si>
  <si>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</si>
  <si>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</si>
  <si>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</si>
  <si>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</si>
  <si>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</si>
  <si>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</si>
  <si>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</si>
  <si>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</si>
  <si>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</si>
  <si>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</si>
  <si>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</si>
  <si>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</si>
  <si>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</si>
  <si>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</si>
  <si>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</si>
  <si>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</si>
  <si>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</si>
  <si>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</si>
  <si>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</si>
  <si>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</si>
  <si>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</si>
  <si>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</si>
  <si>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</si>
  <si>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</si>
  <si>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</si>
  <si>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</si>
  <si>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</si>
  <si>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</si>
  <si>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</si>
  <si>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</si>
  <si>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</si>
  <si>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</si>
  <si>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</si>
  <si>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</si>
  <si>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</si>
  <si>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</si>
  <si>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</si>
  <si>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</si>
  <si>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</si>
  <si>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</si>
  <si>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</si>
  <si>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</si>
  <si>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</si>
  <si>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</si>
  <si>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</si>
  <si>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</si>
  <si>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</si>
  <si>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</si>
  <si>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</si>
  <si>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</si>
  <si>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</si>
  <si>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</si>
  <si>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</si>
  <si>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</si>
  <si>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</si>
  <si>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</si>
  <si>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</si>
  <si>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</si>
  <si>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</si>
  <si>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</si>
  <si>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</si>
  <si>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</si>
  <si>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</si>
  <si>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</si>
  <si>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</si>
  <si>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</si>
  <si>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</si>
  <si>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</si>
  <si>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</si>
  <si>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</si>
  <si>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</si>
  <si>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</si>
  <si>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</si>
  <si>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</si>
  <si>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</si>
  <si>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</si>
  <si>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</si>
  <si>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</si>
  <si>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</si>
  <si>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</si>
  <si>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</si>
  <si>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</si>
  <si>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</si>
  <si>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</si>
  <si>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</si>
  <si>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</si>
  <si>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</si>
  <si>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</si>
  <si>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</si>
  <si>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</si>
  <si>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</si>
  <si>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</si>
  <si>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</si>
  <si>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</si>
  <si>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</si>
  <si>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</si>
  <si>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</si>
  <si>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</si>
  <si>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</si>
  <si>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</si>
  <si>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</si>
  <si>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</si>
  <si>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</si>
  <si>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</si>
  <si>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</si>
  <si>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</si>
  <si>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</si>
  <si>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</si>
  <si>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</si>
  <si>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</si>
  <si>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</si>
  <si>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</si>
  <si>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</si>
  <si>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</si>
  <si>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</si>
  <si>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</si>
  <si>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</si>
  <si>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</si>
  <si>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</si>
  <si>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</si>
  <si>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</si>
  <si>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</si>
  <si>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</si>
  <si>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</si>
  <si>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</si>
  <si>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</si>
  <si>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</si>
  <si>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</si>
  <si>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</si>
  <si>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</si>
  <si>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</si>
  <si>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</si>
  <si>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</si>
  <si>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</si>
  <si>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</si>
  <si>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</si>
  <si>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</si>
  <si>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</si>
  <si>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</si>
  <si>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</si>
  <si>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</si>
  <si>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</si>
  <si>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</si>
  <si>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</si>
  <si>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</si>
  <si>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</si>
  <si>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</si>
  <si>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</si>
  <si>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</si>
  <si>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</si>
  <si>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</si>
  <si>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</si>
  <si>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</si>
  <si>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</si>
  <si>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</si>
  <si>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</si>
  <si>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</si>
  <si>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</si>
  <si>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</si>
  <si>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</si>
  <si>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</si>
  <si>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</si>
  <si>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</si>
  <si>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</si>
  <si>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</si>
  <si>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</si>
  <si>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</si>
  <si>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</si>
  <si>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</si>
  <si>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</si>
  <si>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</si>
  <si>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</si>
  <si>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</si>
  <si>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</si>
  <si>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</si>
  <si>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</si>
  <si>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</si>
  <si>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</si>
  <si>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</si>
  <si>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</si>
  <si>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</si>
  <si>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</si>
  <si>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</si>
  <si>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</si>
  <si>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</si>
  <si>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</si>
  <si>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</si>
  <si>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</si>
  <si>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</si>
  <si>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</si>
  <si>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</si>
  <si>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</si>
  <si>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</si>
  <si>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</si>
  <si>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</si>
  <si>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</si>
  <si>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</si>
  <si>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</si>
  <si>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</si>
  <si>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</si>
  <si>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</si>
  <si>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</si>
  <si>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</si>
  <si>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</si>
  <si>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</si>
  <si>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</si>
  <si>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</si>
  <si>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</si>
  <si>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</si>
  <si>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</si>
  <si>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</si>
  <si>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</si>
  <si>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</si>
  <si>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</si>
  <si>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</si>
  <si>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</si>
  <si>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</si>
  <si>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</si>
  <si>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</si>
  <si>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</si>
  <si>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</si>
  <si>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</si>
  <si>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</si>
  <si>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</si>
  <si>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</si>
  <si>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</si>
  <si>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</si>
  <si>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</si>
  <si>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</si>
  <si>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</si>
  <si>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</si>
  <si>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</si>
  <si>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</si>
  <si>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</si>
  <si>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</si>
  <si>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</si>
  <si>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</si>
  <si>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</si>
  <si>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</si>
  <si>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</si>
  <si>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</si>
  <si>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</si>
  <si>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</si>
  <si>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</si>
  <si>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</si>
  <si>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</si>
  <si>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</si>
  <si>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</si>
  <si>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</si>
  <si>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</si>
  <si>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</si>
  <si>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</si>
  <si>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</si>
  <si>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</si>
  <si>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</si>
  <si>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</si>
  <si>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</si>
  <si>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</si>
  <si>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</si>
  <si>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</si>
  <si>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</si>
  <si>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</si>
  <si>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</si>
  <si>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</si>
  <si>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</si>
  <si>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</si>
  <si>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</si>
  <si>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</si>
  <si>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</si>
  <si>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</si>
  <si>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</si>
  <si>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</si>
  <si>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</si>
  <si>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</si>
  <si>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</si>
  <si>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</si>
  <si>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</si>
  <si>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</si>
  <si>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</si>
  <si>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</si>
  <si>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</si>
  <si>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</si>
  <si>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</si>
  <si>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</si>
  <si>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</si>
  <si>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</si>
  <si>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</si>
  <si>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</si>
  <si>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</si>
  <si>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</si>
  <si>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</si>
  <si>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</si>
  <si>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</si>
  <si>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</si>
  <si>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</si>
  <si>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</si>
  <si>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</si>
  <si>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</si>
  <si>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</si>
  <si>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</si>
  <si>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</si>
  <si>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</si>
  <si>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</si>
  <si>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</si>
  <si>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</si>
  <si>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</si>
  <si>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</si>
  <si>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</si>
  <si>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</si>
  <si>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</si>
  <si>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</si>
  <si>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</si>
  <si>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</si>
  <si>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</si>
  <si>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</si>
  <si>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</si>
  <si>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</si>
  <si>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</si>
  <si>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</si>
  <si>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</si>
  <si>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</si>
  <si>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</si>
  <si>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</si>
  <si>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</si>
  <si>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</si>
  <si>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</si>
  <si>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</si>
  <si>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</si>
  <si>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</si>
  <si>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</si>
  <si>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</si>
  <si>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</si>
  <si>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</si>
  <si>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</si>
  <si>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</si>
  <si>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</si>
  <si>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</si>
  <si>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</si>
  <si>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</si>
  <si>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</si>
  <si>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</si>
  <si>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</si>
  <si>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</si>
  <si>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</si>
  <si>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</si>
  <si>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</si>
  <si>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</si>
  <si>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</si>
  <si>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</si>
  <si>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</si>
  <si>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</si>
  <si>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</si>
  <si>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</si>
  <si>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</si>
  <si>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</si>
  <si>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</si>
  <si>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</si>
  <si>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</si>
  <si>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</si>
  <si>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</si>
  <si>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</si>
  <si>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</si>
  <si>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</si>
  <si>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</si>
  <si>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</si>
  <si>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</si>
  <si>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</si>
  <si>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</si>
  <si>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</si>
  <si>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</si>
  <si>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</si>
  <si>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</si>
  <si>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</si>
  <si>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</si>
  <si>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</si>
  <si>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</si>
  <si>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</si>
  <si>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</si>
  <si>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</si>
  <si>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</si>
  <si>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</si>
  <si>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</si>
  <si>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</si>
  <si>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</si>
  <si>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</si>
  <si>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</si>
  <si>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</si>
  <si>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</si>
  <si>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</si>
  <si>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</si>
  <si>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</si>
  <si>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</si>
  <si>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</si>
  <si>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</si>
  <si>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</si>
  <si>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</si>
  <si>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</si>
  <si>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</si>
  <si>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</si>
  <si>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</si>
  <si>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</si>
  <si>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</si>
  <si>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</si>
  <si>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</si>
  <si>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</si>
  <si>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</si>
  <si>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</si>
  <si>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</si>
  <si>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</si>
  <si>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</si>
  <si>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</si>
  <si>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</si>
  <si>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</si>
  <si>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</si>
  <si>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</si>
  <si>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</si>
  <si>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</si>
  <si>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</si>
  <si>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</si>
  <si>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</si>
  <si>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</si>
  <si>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</si>
  <si>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</si>
  <si>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</si>
  <si>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</si>
  <si>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</si>
  <si>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</si>
  <si>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</si>
  <si>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</si>
  <si>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</si>
  <si>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</si>
  <si>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</si>
  <si>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</si>
  <si>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</si>
  <si>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</si>
  <si>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</si>
  <si>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</si>
  <si>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</si>
  <si>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</si>
  <si>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</si>
  <si>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</si>
  <si>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</si>
  <si>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</si>
  <si>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</si>
  <si>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</si>
  <si>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</si>
  <si>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</si>
  <si>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</si>
  <si>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</si>
  <si>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</si>
  <si>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</si>
  <si>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</si>
  <si>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</si>
  <si>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</si>
  <si>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</si>
  <si>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</si>
  <si>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</si>
  <si>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</si>
  <si>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</si>
  <si>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</si>
  <si>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</si>
  <si>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</si>
  <si>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</si>
  <si>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</si>
  <si>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</si>
  <si>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</si>
  <si>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</si>
  <si>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</si>
  <si>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</si>
  <si>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</si>
  <si>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</si>
  <si>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</si>
  <si>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</si>
  <si>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</si>
  <si>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</si>
  <si>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</si>
  <si>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</si>
  <si>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</si>
  <si>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</si>
  <si>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</si>
  <si>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</si>
  <si>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</si>
  <si>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</si>
  <si>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</si>
  <si>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</si>
  <si>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</si>
  <si>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</si>
  <si>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</si>
  <si>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</si>
  <si>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</si>
  <si>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</si>
  <si>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</si>
  <si>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</si>
  <si>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</si>
  <si>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</si>
  <si>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</si>
  <si>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</si>
  <si>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</si>
  <si>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</si>
  <si>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</si>
  <si>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</si>
  <si>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</si>
  <si>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</si>
  <si>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</si>
  <si>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</si>
  <si>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</si>
  <si>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</si>
  <si>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</si>
  <si>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</si>
  <si>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</si>
  <si>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</si>
  <si>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</si>
  <si>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</si>
  <si>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</si>
  <si>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</si>
  <si>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</si>
  <si>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</si>
  <si>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</si>
  <si>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</si>
  <si>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</si>
  <si>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</si>
  <si>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</si>
  <si>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</si>
  <si>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</si>
  <si>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</si>
  <si>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</si>
  <si>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</si>
  <si>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</si>
  <si>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</si>
  <si>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</si>
  <si>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</si>
  <si>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</si>
  <si>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</si>
  <si>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</si>
  <si>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</si>
  <si>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</si>
  <si>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</si>
  <si>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</si>
  <si>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</si>
  <si>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</si>
  <si>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</si>
  <si>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</si>
  <si>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</si>
  <si>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</si>
  <si>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</si>
  <si>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</si>
  <si>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</si>
  <si>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</si>
  <si>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</si>
  <si>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</si>
  <si>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</si>
  <si>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</si>
  <si>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</si>
  <si>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</si>
  <si>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</si>
  <si>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</si>
  <si>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</si>
  <si>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</si>
  <si>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</si>
  <si>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</si>
  <si>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</si>
  <si>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</si>
  <si>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</si>
  <si>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</si>
  <si>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</si>
  <si>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</si>
  <si>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</si>
  <si>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</si>
  <si>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</si>
  <si>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</si>
  <si>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</si>
  <si>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</si>
  <si>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</si>
  <si>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</si>
  <si>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</si>
  <si>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</si>
  <si>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</si>
  <si>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</si>
  <si>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</si>
  <si>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</si>
  <si>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</si>
  <si>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</si>
  <si>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</si>
  <si>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</si>
  <si>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</si>
  <si>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</si>
  <si>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</si>
  <si>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</si>
  <si>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</si>
  <si>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</si>
  <si>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</si>
  <si>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</si>
  <si>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</si>
  <si>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</si>
  <si>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</si>
  <si>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</si>
  <si>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</si>
  <si>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</si>
  <si>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</si>
  <si>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</si>
  <si>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</si>
  <si>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</si>
  <si>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</si>
  <si>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</si>
  <si>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</si>
  <si>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</si>
  <si>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</si>
  <si>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</si>
  <si>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</si>
  <si>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</si>
  <si>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</si>
  <si>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</si>
  <si>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</si>
  <si>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</si>
  <si>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</si>
  <si>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</si>
  <si>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</si>
  <si>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</si>
  <si>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</si>
  <si>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</si>
  <si>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</si>
  <si>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</si>
  <si>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</si>
  <si>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</si>
  <si>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</si>
  <si>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</si>
  <si>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</si>
  <si>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</si>
  <si>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</si>
  <si>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</si>
  <si>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</si>
  <si>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</si>
  <si>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</si>
  <si>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</si>
  <si>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</si>
  <si>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</si>
  <si>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</si>
  <si>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</si>
  <si>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</si>
  <si>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</si>
  <si>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</si>
  <si>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</si>
  <si>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</si>
  <si>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</si>
  <si>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</si>
  <si>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</si>
  <si>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</si>
  <si>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</si>
  <si>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</si>
  <si>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</si>
  <si>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</si>
  <si>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</si>
  <si>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</si>
  <si>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</si>
  <si>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</si>
  <si>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</si>
  <si>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</si>
  <si>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</si>
  <si>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</si>
  <si>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</si>
  <si>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</si>
  <si>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</si>
  <si>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</si>
  <si>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</si>
  <si>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</si>
  <si>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</si>
  <si>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</si>
  <si>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</si>
  <si>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</si>
  <si>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</si>
  <si>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</si>
  <si>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</si>
  <si>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</si>
  <si>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</si>
  <si>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</si>
  <si>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</si>
  <si>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</si>
  <si>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</si>
  <si>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</si>
  <si>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</si>
  <si>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</si>
  <si>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</si>
  <si>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</si>
  <si>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</si>
  <si>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</si>
  <si>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</si>
  <si>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</si>
  <si>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</si>
  <si>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</si>
  <si>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</si>
  <si>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</si>
  <si>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</si>
  <si>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</si>
  <si>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</si>
  <si>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</si>
  <si>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</si>
  <si>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</si>
  <si>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</si>
  <si>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</si>
  <si>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</si>
  <si>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</si>
  <si>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</si>
  <si>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</si>
  <si>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</si>
  <si>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</si>
  <si>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</si>
  <si>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</si>
  <si>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</si>
  <si>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</si>
  <si>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</si>
  <si>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</si>
  <si>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</si>
  <si>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</si>
  <si>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</si>
  <si>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</si>
  <si>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</si>
  <si>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</si>
  <si>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</si>
  <si>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</si>
  <si>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</si>
  <si>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</si>
  <si>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</si>
  <si>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</si>
  <si>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</si>
  <si>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</si>
  <si>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</si>
  <si>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</si>
  <si>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</si>
  <si>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</si>
  <si>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</si>
  <si>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</si>
  <si>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</si>
  <si>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</si>
  <si>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</si>
  <si>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</si>
  <si>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</si>
  <si>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</si>
  <si>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</si>
  <si>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</si>
  <si>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</si>
  <si>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</si>
  <si>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</si>
  <si>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</si>
  <si>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</si>
  <si>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</si>
  <si>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</si>
  <si>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</si>
  <si>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</si>
  <si>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</si>
  <si>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</si>
  <si>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</si>
  <si>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</si>
  <si>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</si>
  <si>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</si>
  <si>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</si>
  <si>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</si>
  <si>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</si>
  <si>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</si>
  <si>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</si>
  <si>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</si>
  <si>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</si>
  <si>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</si>
  <si>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</si>
  <si>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</si>
  <si>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</si>
  <si>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</si>
  <si>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</si>
  <si>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</si>
  <si>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</si>
  <si>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</si>
  <si>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</si>
  <si>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</si>
  <si>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</si>
  <si>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</si>
  <si>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</si>
  <si>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</si>
  <si>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</si>
  <si>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</si>
  <si>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</si>
  <si>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</si>
  <si>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</si>
  <si>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</si>
  <si>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</si>
  <si>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</si>
  <si>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</si>
  <si>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</si>
  <si>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</si>
  <si>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</si>
  <si>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</si>
  <si>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</si>
  <si>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</si>
  <si>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</si>
  <si>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</si>
  <si>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</si>
  <si>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</si>
  <si>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</si>
  <si>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</si>
  <si>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</si>
  <si>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</si>
  <si>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</si>
  <si>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</si>
  <si>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</si>
  <si>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</si>
  <si>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</si>
  <si>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</si>
  <si>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</si>
  <si>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</si>
  <si>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</si>
  <si>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</si>
  <si>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</si>
  <si>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</si>
  <si>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</si>
  <si>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</si>
  <si>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</si>
  <si>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</si>
  <si>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</si>
  <si>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</si>
  <si>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</si>
  <si>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</si>
  <si>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</si>
  <si>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</si>
  <si>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</si>
  <si>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</si>
  <si>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</si>
  <si>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</si>
  <si>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</si>
  <si>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</si>
  <si>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</si>
  <si>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</si>
  <si>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</si>
  <si>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</si>
  <si>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</si>
  <si>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</si>
  <si>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</si>
  <si>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</si>
  <si>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</si>
  <si>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</si>
  <si>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</si>
  <si>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</si>
  <si>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</si>
  <si>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</si>
  <si>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</si>
  <si>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</si>
  <si>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</si>
  <si>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</si>
  <si>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</si>
  <si>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</si>
  <si>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</si>
  <si>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</si>
  <si>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</si>
  <si>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</si>
  <si>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</si>
  <si>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</si>
  <si>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</si>
  <si>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</si>
  <si>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</si>
  <si>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</si>
  <si>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</si>
  <si>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</si>
  <si>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</si>
  <si>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</si>
  <si>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</si>
  <si>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</si>
  <si>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</si>
  <si>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</si>
  <si>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</si>
  <si>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</si>
  <si>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</si>
  <si>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</si>
  <si>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</si>
  <si>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</si>
  <si>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</si>
  <si>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</si>
  <si>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</si>
  <si>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</si>
  <si>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</si>
  <si>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</si>
  <si>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</si>
  <si>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</si>
  <si>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</si>
  <si>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</si>
  <si>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</si>
  <si>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</si>
  <si>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</si>
  <si>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</si>
  <si>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</si>
  <si>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</si>
  <si>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</si>
  <si>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</si>
  <si>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</si>
  <si>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</si>
  <si>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</si>
  <si>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</si>
  <si>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</si>
  <si>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</si>
  <si>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</si>
  <si>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</si>
  <si>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</si>
  <si>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</si>
  <si>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</si>
  <si>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</si>
  <si>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</si>
  <si>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</si>
  <si>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</si>
  <si>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</si>
  <si>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</si>
  <si>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</si>
  <si>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</si>
  <si>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</si>
  <si>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</si>
  <si>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</si>
  <si>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</si>
  <si>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</si>
  <si>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</si>
  <si>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</si>
  <si>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</si>
  <si>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</si>
  <si>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</si>
  <si>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</si>
  <si>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</si>
  <si>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</si>
  <si>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</si>
  <si>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</si>
  <si>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</si>
  <si>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</si>
  <si>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</si>
  <si>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</si>
  <si>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</si>
  <si>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</si>
  <si>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</si>
  <si>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</si>
  <si>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</si>
  <si>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</si>
  <si>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</si>
  <si>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</si>
  <si>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</si>
  <si>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</si>
  <si>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</si>
  <si>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</si>
  <si>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</si>
  <si>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</si>
  <si>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</si>
  <si>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</si>
  <si>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</si>
  <si>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</si>
  <si>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</si>
  <si>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</si>
  <si>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</si>
  <si>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</si>
  <si>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</si>
  <si>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</si>
  <si>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</si>
  <si>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</si>
  <si>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</si>
  <si>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</si>
  <si>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</si>
  <si>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</si>
  <si>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</si>
  <si>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</si>
  <si>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</si>
  <si>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</si>
  <si>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</si>
  <si>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</si>
  <si>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</si>
  <si>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</si>
  <si>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</si>
  <si>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</si>
  <si>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</si>
  <si>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</si>
  <si>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</si>
  <si>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</si>
  <si>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</si>
  <si>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</si>
  <si>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</si>
  <si>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</si>
  <si>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</si>
  <si>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</si>
  <si>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</si>
  <si>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</si>
  <si>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</si>
  <si>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</si>
  <si>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</si>
  <si>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</si>
  <si>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</si>
  <si>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</si>
  <si>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</si>
  <si>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</si>
  <si>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</si>
  <si>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</si>
  <si>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</si>
  <si>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</si>
  <si>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</si>
  <si>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</si>
  <si>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</si>
  <si>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</si>
  <si>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</si>
  <si>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</si>
  <si>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</si>
  <si>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</si>
  <si>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</si>
  <si>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</si>
  <si>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</si>
  <si>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</si>
  <si>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</si>
  <si>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</si>
  <si>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</si>
  <si>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</si>
  <si>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</si>
  <si>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</si>
  <si>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</si>
  <si>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</si>
  <si>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</si>
  <si>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</si>
  <si>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</si>
  <si>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</si>
  <si>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</si>
  <si>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</si>
  <si>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</si>
  <si>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</si>
  <si>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</si>
  <si>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</si>
  <si>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</si>
  <si>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</si>
  <si>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</si>
  <si>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</si>
  <si>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</si>
  <si>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</si>
  <si>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</si>
  <si>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</si>
  <si>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</si>
  <si>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</si>
  <si>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</si>
  <si>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</si>
  <si>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</si>
  <si>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</si>
  <si>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</si>
  <si>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</si>
  <si>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</si>
  <si>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</si>
  <si>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</si>
  <si>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</si>
  <si>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</si>
  <si>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</si>
  <si>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</si>
  <si>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</si>
  <si>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</si>
  <si>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</si>
  <si>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</si>
  <si>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</si>
  <si>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</si>
  <si>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</si>
  <si>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</si>
  <si>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</si>
  <si>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</si>
  <si>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</si>
  <si>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</si>
  <si>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</si>
  <si>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</si>
  <si>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</si>
  <si>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</si>
  <si>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</si>
  <si>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</si>
  <si>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</si>
  <si>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</si>
  <si>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</si>
  <si>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</si>
  <si>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</si>
  <si>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</si>
  <si>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</si>
  <si>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</si>
  <si>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</si>
  <si>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</si>
  <si>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</si>
  <si>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</si>
  <si>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</si>
  <si>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</si>
  <si>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</si>
  <si>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</si>
  <si>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</si>
  <si>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</si>
  <si>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</si>
  <si>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</si>
  <si>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</si>
  <si>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</si>
  <si>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</si>
  <si>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</si>
  <si>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</si>
  <si>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</si>
  <si>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</si>
  <si>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</si>
  <si>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</si>
  <si>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</si>
  <si>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</si>
  <si>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</si>
  <si>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</si>
  <si>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</si>
  <si>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</si>
  <si>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</si>
  <si>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</si>
  <si>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</si>
  <si>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</si>
  <si>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</si>
  <si>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</si>
  <si>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</si>
  <si>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</si>
  <si>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</si>
  <si>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</si>
  <si>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</si>
  <si>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</si>
  <si>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</si>
  <si>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</si>
  <si>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</si>
  <si>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</si>
  <si>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</si>
  <si>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</si>
  <si>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</si>
  <si>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</si>
  <si>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</si>
  <si>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</si>
  <si>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</si>
  <si>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</si>
  <si>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</si>
  <si>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</si>
  <si>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</si>
  <si>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</si>
  <si>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</si>
  <si>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</si>
  <si>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</si>
  <si>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</si>
  <si>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</si>
  <si>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</si>
  <si>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</si>
  <si>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</si>
  <si>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</si>
  <si>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</si>
  <si>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</si>
  <si>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</si>
  <si>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</si>
  <si>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</si>
  <si>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</si>
  <si>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</si>
  <si>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</si>
  <si>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</si>
  <si>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</si>
  <si>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</si>
  <si>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</si>
  <si>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</si>
  <si>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</si>
  <si>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</si>
  <si>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</si>
  <si>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</si>
  <si>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</si>
  <si>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</si>
  <si>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</si>
  <si>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</si>
  <si>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</si>
  <si>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</si>
  <si>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</si>
  <si>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</si>
  <si>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</si>
  <si>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</si>
  <si>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</si>
  <si>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</si>
  <si>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</si>
  <si>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</si>
  <si>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</si>
  <si>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</si>
  <si>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</si>
  <si>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</si>
  <si>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</si>
  <si>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</si>
  <si>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</si>
  <si>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</si>
  <si>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</si>
  <si>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</si>
  <si>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</si>
  <si>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</si>
  <si>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</si>
  <si>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</si>
  <si>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</si>
  <si>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</si>
  <si>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</si>
  <si>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</si>
  <si>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</si>
  <si>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</si>
  <si>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</si>
  <si>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</si>
  <si>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</si>
  <si>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</si>
  <si>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</si>
  <si>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</si>
  <si>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</si>
  <si>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</si>
  <si>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</si>
  <si>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</si>
  <si>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</si>
  <si>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</si>
  <si>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</si>
  <si>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</si>
  <si>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</si>
  <si>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</si>
  <si>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</si>
  <si>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</si>
  <si>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</si>
  <si>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</si>
  <si>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</si>
  <si>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</si>
  <si>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</si>
  <si>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</si>
  <si>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</si>
  <si>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</si>
  <si>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</si>
  <si>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</si>
  <si>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</si>
  <si>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</si>
  <si>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</si>
  <si>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</si>
  <si>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</si>
  <si>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</si>
  <si>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</si>
  <si>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</si>
  <si>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</si>
  <si>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</si>
  <si>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</si>
  <si>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</si>
  <si>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</si>
  <si>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</si>
  <si>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</si>
  <si>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</si>
  <si>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</si>
  <si>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</si>
  <si>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</si>
  <si>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</si>
  <si>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</si>
  <si>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</si>
  <si>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</si>
  <si>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</si>
  <si>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</si>
  <si>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</si>
  <si>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</si>
  <si>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</si>
  <si>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</si>
  <si>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</si>
  <si>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</si>
  <si>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</si>
  <si>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</si>
  <si>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</si>
  <si>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</si>
  <si>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</si>
  <si>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</si>
  <si>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</si>
  <si>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</si>
  <si>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</si>
  <si>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</si>
  <si>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</si>
  <si>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</si>
  <si>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</si>
  <si>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</si>
  <si>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</si>
  <si>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</si>
  <si>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</si>
  <si>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</si>
  <si>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</si>
  <si>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</si>
  <si>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</si>
  <si>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</si>
  <si>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</si>
  <si>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</si>
  <si>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</si>
  <si>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</si>
  <si>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</si>
  <si>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</si>
  <si>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</si>
  <si>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</si>
  <si>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</si>
  <si>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</si>
  <si>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</si>
  <si>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</si>
  <si>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</si>
  <si>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</si>
  <si>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</si>
  <si>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</si>
  <si>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</si>
  <si>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</si>
  <si>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</si>
  <si>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</si>
  <si>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</si>
  <si>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</si>
  <si>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</si>
  <si>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</si>
  <si>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</si>
  <si>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</si>
  <si>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</si>
  <si>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</si>
  <si>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</si>
  <si>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</si>
  <si>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</si>
  <si>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</si>
  <si>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</si>
  <si>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</si>
  <si>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</si>
  <si>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</si>
  <si>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</si>
  <si>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</si>
  <si>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</si>
  <si>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</si>
  <si>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</si>
  <si>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</si>
  <si>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</si>
  <si>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</si>
  <si>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</si>
  <si>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</si>
  <si>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</si>
  <si>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</si>
  <si>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</si>
  <si>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</si>
  <si>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</si>
  <si>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</si>
  <si>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</si>
  <si>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</si>
  <si>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</si>
  <si>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</si>
  <si>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</si>
  <si>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</si>
  <si>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</si>
  <si>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</si>
  <si>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</si>
  <si>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</si>
  <si>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</si>
  <si>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</si>
  <si>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</si>
  <si>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</si>
  <si>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</si>
  <si>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</si>
  <si>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</si>
  <si>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</si>
  <si>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</si>
  <si>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</si>
  <si>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</si>
  <si>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</si>
  <si>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</si>
  <si>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</si>
  <si>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</si>
  <si>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</si>
  <si>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</si>
  <si>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</si>
  <si>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</si>
  <si>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</si>
  <si>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</si>
  <si>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</si>
  <si>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</si>
  <si>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</si>
  <si>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</si>
  <si>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</si>
  <si>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</si>
  <si>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</si>
  <si>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</si>
  <si>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</si>
  <si>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</si>
  <si>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</si>
  <si>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</si>
  <si>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</si>
  <si>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</si>
  <si>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</si>
  <si>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</si>
  <si>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</si>
  <si>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</si>
  <si>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</si>
  <si>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</si>
  <si>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</si>
  <si>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</si>
  <si>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</si>
  <si>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</si>
  <si>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</si>
  <si>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</si>
  <si>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</si>
  <si>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</si>
  <si>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</si>
  <si>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</si>
  <si>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</si>
  <si>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</si>
  <si>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</si>
  <si>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</si>
  <si>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</si>
  <si>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</si>
  <si>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</si>
  <si>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</si>
  <si>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</si>
  <si>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</si>
  <si>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</si>
  <si>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</si>
  <si>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</si>
  <si>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</si>
  <si>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</si>
  <si>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</si>
  <si>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</si>
  <si>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</si>
  <si>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</si>
  <si>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</si>
  <si>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</si>
  <si>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</si>
  <si>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</si>
  <si>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</si>
  <si>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</si>
  <si>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</si>
  <si>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</si>
  <si>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</si>
  <si>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</si>
  <si>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</si>
  <si>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</si>
  <si>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</si>
  <si>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</si>
  <si>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</si>
  <si>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</si>
  <si>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</si>
  <si>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</si>
  <si>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</si>
  <si>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</si>
  <si>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</si>
  <si>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</si>
  <si>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</si>
  <si>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</si>
  <si>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</si>
  <si>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</si>
  <si>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</si>
  <si>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</si>
  <si>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</si>
  <si>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</si>
  <si>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</si>
  <si>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</si>
  <si>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</si>
  <si>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</si>
  <si>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</si>
  <si>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</si>
  <si>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</si>
  <si>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</si>
  <si>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</si>
  <si>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</si>
  <si>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</si>
  <si>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</si>
  <si>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</si>
  <si>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</si>
  <si>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</si>
  <si>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</si>
  <si>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</si>
  <si>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</si>
  <si>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</si>
  <si>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</si>
  <si>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</si>
  <si>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</si>
  <si>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</si>
  <si>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</si>
  <si>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</si>
  <si>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</si>
  <si>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</si>
  <si>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</si>
  <si>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</si>
  <si>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</si>
  <si>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</si>
  <si>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</si>
  <si>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</si>
  <si>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</si>
  <si>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</si>
  <si>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</si>
  <si>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</si>
  <si>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</si>
  <si>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</si>
  <si>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</si>
  <si>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</si>
  <si>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</si>
  <si>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</si>
  <si>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</si>
  <si>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</si>
  <si>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</si>
  <si>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</si>
  <si>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</si>
  <si>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</si>
  <si>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</si>
  <si>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</si>
  <si>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</si>
  <si>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</si>
  <si>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</si>
  <si>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</si>
  <si>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</si>
  <si>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</si>
  <si>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</si>
  <si>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</si>
  <si>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</si>
  <si>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</si>
  <si>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</si>
  <si>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</si>
  <si>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</si>
  <si>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</si>
  <si>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</si>
  <si>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</si>
  <si>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</si>
  <si>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</si>
  <si>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</si>
  <si>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</si>
  <si>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</si>
  <si>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</si>
  <si>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</si>
  <si>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</si>
  <si>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</si>
  <si>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</si>
  <si>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</si>
  <si>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</si>
  <si>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</si>
  <si>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</si>
  <si>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</si>
  <si>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</si>
  <si>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</si>
  <si>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</si>
  <si>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</si>
  <si>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</si>
  <si>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</si>
  <si>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</si>
  <si>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</si>
  <si>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</si>
  <si>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</si>
  <si>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</si>
  <si>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</si>
  <si>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</si>
  <si>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</si>
  <si>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</si>
  <si>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</si>
  <si>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</si>
  <si>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</si>
  <si>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</si>
  <si>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</si>
  <si>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</si>
  <si>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</si>
  <si>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</si>
  <si>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</si>
  <si>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</si>
  <si>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</si>
  <si>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</si>
  <si>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</si>
  <si>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</si>
  <si>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</si>
  <si>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</si>
  <si>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</si>
  <si>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</si>
  <si>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</si>
  <si>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</si>
  <si>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</si>
  <si>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</si>
  <si>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</si>
  <si>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</si>
  <si>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</si>
  <si>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</si>
  <si>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</si>
  <si>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</si>
  <si>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</si>
  <si>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</si>
  <si>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</si>
  <si>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</si>
  <si>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</si>
  <si>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</si>
  <si>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</si>
  <si>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</si>
  <si>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</si>
  <si>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</si>
  <si>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</si>
  <si>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</si>
  <si>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</si>
  <si>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</si>
  <si>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</si>
  <si>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</si>
  <si>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</si>
  <si>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</si>
  <si>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</si>
  <si>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</si>
  <si>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</si>
  <si>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</si>
  <si>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</si>
  <si>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</si>
  <si>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</si>
  <si>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</si>
  <si>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</si>
  <si>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</si>
  <si>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</si>
  <si>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</si>
  <si>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</si>
  <si>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</si>
  <si>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</si>
  <si>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</si>
  <si>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</si>
  <si>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</si>
  <si>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</si>
  <si>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</si>
  <si>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</si>
  <si>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</si>
  <si>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</si>
  <si>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</si>
  <si>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</si>
  <si>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</si>
  <si>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</si>
  <si>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</si>
  <si>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</si>
  <si>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</si>
  <si>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</si>
  <si>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</si>
  <si>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</si>
  <si>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</si>
  <si>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</si>
  <si>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</si>
  <si>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</si>
  <si>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</si>
  <si>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</si>
  <si>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</si>
  <si>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</si>
  <si>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</si>
  <si>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</si>
  <si>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</si>
  <si>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</si>
  <si>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</si>
  <si>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</si>
  <si>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</si>
  <si>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</si>
  <si>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</si>
  <si>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</si>
  <si>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</si>
  <si>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</si>
  <si>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</si>
  <si>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</si>
  <si>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</si>
  <si>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</si>
  <si>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</si>
  <si>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</si>
  <si>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</si>
  <si>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</si>
  <si>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</si>
  <si>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</si>
  <si>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</si>
  <si>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</si>
  <si>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</si>
  <si>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</si>
  <si>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</si>
  <si>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</si>
  <si>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</si>
  <si>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</si>
  <si>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</si>
  <si>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</si>
  <si>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</si>
  <si>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</si>
  <si>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</si>
  <si>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</si>
  <si>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</si>
  <si>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</si>
  <si>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</si>
  <si>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</si>
  <si>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</si>
  <si>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</si>
  <si>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</si>
  <si>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</si>
  <si>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</si>
  <si>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</si>
  <si>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</si>
  <si>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</si>
  <si>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</si>
  <si>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</si>
  <si>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</si>
  <si>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</si>
  <si>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</si>
  <si>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</si>
  <si>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</si>
  <si>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</si>
  <si>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</si>
  <si>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</si>
  <si>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</si>
  <si>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</si>
  <si>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</si>
  <si>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</si>
  <si>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</si>
  <si>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</si>
  <si>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</si>
  <si>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</si>
  <si>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</si>
  <si>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</si>
  <si>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</si>
  <si>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</si>
  <si>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</si>
  <si>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</si>
  <si>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</si>
  <si>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</si>
  <si>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</si>
  <si>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</si>
  <si>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</si>
  <si>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</si>
  <si>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</si>
  <si>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</si>
  <si>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</si>
  <si>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</si>
  <si>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</si>
  <si>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</si>
  <si>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</si>
  <si>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</si>
  <si>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</si>
  <si>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</si>
  <si>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</si>
  <si>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</si>
  <si>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</si>
  <si>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</si>
  <si>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</si>
  <si>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</si>
  <si>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</si>
  <si>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</si>
  <si>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</si>
  <si>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</si>
  <si>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</si>
  <si>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</si>
  <si>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</si>
  <si>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</si>
  <si>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</si>
  <si>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</si>
  <si>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</si>
  <si>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</si>
  <si>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</si>
  <si>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</si>
  <si>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</si>
  <si>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</si>
  <si>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</si>
  <si>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</si>
  <si>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</si>
  <si>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</si>
  <si>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</si>
  <si>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</si>
  <si>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</si>
  <si>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</si>
  <si>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</si>
  <si>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</si>
  <si>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</si>
  <si>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</si>
  <si>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</si>
  <si>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</si>
  <si>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</si>
  <si>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</si>
  <si>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</si>
  <si>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</si>
  <si>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</si>
  <si>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</si>
  <si>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</si>
  <si>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</si>
  <si>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</si>
  <si>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</si>
  <si>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</si>
  <si>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</si>
  <si>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</si>
  <si>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</si>
  <si>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</si>
  <si>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</si>
  <si>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</si>
  <si>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</si>
  <si>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</si>
  <si>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</si>
  <si>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</si>
  <si>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</si>
  <si>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</si>
  <si>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</si>
  <si>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</si>
  <si>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</si>
  <si>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</si>
  <si>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</si>
  <si>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</si>
  <si>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</si>
  <si>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</si>
  <si>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</si>
  <si>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</si>
  <si>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</si>
  <si>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</si>
  <si>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</si>
  <si>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</si>
  <si>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</si>
  <si>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</si>
  <si>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</si>
  <si>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</si>
  <si>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</si>
  <si>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</si>
  <si>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</si>
  <si>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</si>
  <si>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</si>
  <si>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</si>
  <si>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</si>
  <si>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</si>
  <si>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</si>
  <si>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</si>
  <si>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</si>
  <si>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</si>
  <si>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</si>
  <si>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</si>
  <si>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</si>
  <si>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</si>
  <si>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</si>
  <si>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</si>
  <si>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</si>
  <si>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</si>
  <si>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</si>
  <si>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</si>
  <si>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</si>
  <si>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</si>
  <si>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</si>
  <si>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</si>
  <si>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</si>
  <si>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</si>
  <si>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</si>
  <si>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</si>
  <si>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</si>
  <si>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</si>
  <si>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</si>
  <si>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</si>
  <si>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ELMET TECHNOLOGIES LLC</t>
  </si>
  <si>
    <t>COMPANY WIDE</t>
  </si>
  <si>
    <t>079772-1699</t>
  </si>
  <si>
    <t>DUNS</t>
  </si>
  <si>
    <t>1560 LISBON STREET, LEWISTON, ME 04240</t>
  </si>
  <si>
    <t>RAY PAGE</t>
  </si>
  <si>
    <t>RPAGE@ELMETTECH.COM</t>
  </si>
  <si>
    <t>207-333-6259</t>
  </si>
  <si>
    <t>VP PURCHASING, SECURITY AND IT</t>
  </si>
  <si>
    <t>From conflict-free sources under the ITSCI program.</t>
  </si>
  <si>
    <t>http://www.elmettechnologies.com/wp-content/uploads/2017/03/ELMET-2017-Conflict-Minerals-Disclosure_2017-03.pdf</t>
  </si>
  <si>
    <t>Jenny Tang</t>
  </si>
  <si>
    <t>export@zy-tungsten.com</t>
  </si>
  <si>
    <t>Tao Xi Keng Mine CHINA, Xin An Zi Mine CHINA, Shi Lei Mine CHINA, Tian Jing Wo Mine CHINA</t>
  </si>
  <si>
    <t>China</t>
  </si>
  <si>
    <t>Stacy Garrity</t>
  </si>
  <si>
    <t>stacy.garrity@globaltungsten.com</t>
  </si>
  <si>
    <t>Panascara (portugal), Drakelands (England)</t>
  </si>
  <si>
    <t>Dennis Gorbachev</t>
  </si>
  <si>
    <t>Novorossky, Far East</t>
  </si>
  <si>
    <t>Russia</t>
  </si>
  <si>
    <t>Scrap</t>
  </si>
  <si>
    <t>Toll converstion of scrap</t>
  </si>
  <si>
    <t>Tony Fitzgerald</t>
  </si>
  <si>
    <t>tony.fitzgerald@masangroup.com</t>
  </si>
  <si>
    <t>Nui Phao</t>
  </si>
  <si>
    <t>Vietnam</t>
  </si>
  <si>
    <t>Roger Showalter</t>
  </si>
  <si>
    <t>roger@niagararefining.com</t>
  </si>
  <si>
    <t>Panasqueira (Portugal),Primorsky (Russia),Nyamuliro (Uganda), DLA,  Mina Brejui-Currais Novos, RN BRAZIL</t>
  </si>
  <si>
    <t>You Zhou</t>
  </si>
  <si>
    <t>zhou.you@cxtc.com</t>
  </si>
  <si>
    <t>Xianglushan Mine CHINA</t>
  </si>
  <si>
    <t>Brazil, Burundi,  USA, Mexico, Nigeria, Russia, Rwanda, Spain, Thailand, Vietnam</t>
  </si>
  <si>
    <t>Raw material is sourced from multiple conflict-free mines globally. Industry standard traceability schemes and other information sources are utilzed. Names and locations of all mines are disclosed to the auditor during the CSI audit.</t>
  </si>
  <si>
    <t>100 % of material Elmet receives comes from scrap</t>
  </si>
  <si>
    <t xml:space="preserve">Process concentrates, Calcium Tungstate, Sodium Tungstate from identified countries, APT from China and scrap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</si>
</sst>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56"/>
      </left>
      <right style="thick">
        <color indexed="64"/>
      </right>
      <top style="thin">
        <color indexed="56"/>
      </top>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1">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10" xfId="0" applyFill="1" applyBorder="1" applyAlignment="1" applyProtection="1">
      <alignment wrapText="1"/>
      <protection locked="0"/>
    </xf>
    <xf numFmtId="0" fontId="0" fillId="2" borderId="66" xfId="0" applyFont="1" applyFill="1" applyBorder="1" applyAlignment="1" applyProtection="1">
      <alignment horizontal="left" vertical="center" wrapText="1"/>
      <protection locked="0"/>
    </xf>
    <xf numFmtId="0" fontId="0" fillId="2" borderId="33" xfId="0" applyFont="1" applyFill="1" applyBorder="1" applyAlignment="1" applyProtection="1">
      <alignment horizontal="left" vertical="center"/>
      <protection locked="0"/>
    </xf>
    <xf numFmtId="0" fontId="0" fillId="0" borderId="10" xfId="0" applyFont="1" applyBorder="1" applyProtection="1">
      <protection locked="0"/>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PAGE@ELMETTE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lmettechnologies.com/wp-content/uploads/2017/03/ELMET-2017-Conflict-Minerals-Disclosure_2017-03.pdf" TargetMode="External"/><Relationship Id="rId4" Type="http://schemas.openxmlformats.org/officeDocument/2006/relationships/hyperlink" Target="mailto:RPAGE@ELMET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6" activePane="bottomRight" state="frozen"/>
      <selection activeCell="A2" sqref="A2"/>
      <selection pane="topRight" activeCell="B2" sqref="B2"/>
      <selection pane="bottomLeft" activeCell="A13" sqref="A13"/>
      <selection pane="bottomRight" activeCell="E49" sqref="E49"/>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0"/>
      <c r="B2" s="38" t="s">
        <v>963</v>
      </c>
      <c r="C2" s="36"/>
      <c r="D2" s="207"/>
      <c r="E2" s="3"/>
      <c r="F2" s="36"/>
      <c r="G2" s="34"/>
    </row>
    <row r="3" spans="1:7">
      <c r="A3" s="360"/>
      <c r="B3" s="5" t="s">
        <v>952</v>
      </c>
      <c r="C3" s="6"/>
      <c r="D3" s="208"/>
      <c r="E3" s="3"/>
      <c r="F3" s="6"/>
      <c r="G3" s="34"/>
    </row>
    <row r="4" spans="1:7" ht="15.75">
      <c r="A4" s="360"/>
      <c r="B4" s="41" t="s">
        <v>965</v>
      </c>
      <c r="C4" s="7"/>
      <c r="D4" s="209"/>
      <c r="E4" s="3"/>
      <c r="F4" s="7"/>
      <c r="G4" s="34"/>
    </row>
    <row r="5" spans="1:7">
      <c r="A5" s="360"/>
      <c r="B5" s="40" t="s">
        <v>1157</v>
      </c>
      <c r="C5" s="4"/>
      <c r="D5" s="210"/>
      <c r="E5" s="3"/>
      <c r="F5" s="4"/>
      <c r="G5" s="34"/>
    </row>
    <row r="6" spans="1:7">
      <c r="A6" s="360"/>
      <c r="B6" s="8"/>
      <c r="C6" s="8"/>
      <c r="D6" s="211"/>
      <c r="E6" s="8"/>
      <c r="F6" s="8"/>
      <c r="G6" s="34"/>
    </row>
    <row r="7" spans="1:7">
      <c r="A7" s="360"/>
      <c r="B7" s="8"/>
      <c r="C7" s="8"/>
      <c r="D7" s="211"/>
      <c r="E7" s="8"/>
      <c r="F7" s="8"/>
      <c r="G7" s="34"/>
    </row>
    <row r="8" spans="1:7">
      <c r="A8" s="360"/>
      <c r="B8" s="8"/>
      <c r="C8" s="8"/>
      <c r="D8" s="211"/>
      <c r="E8" s="8"/>
      <c r="F8" s="8"/>
      <c r="G8" s="34"/>
    </row>
    <row r="9" spans="1:7">
      <c r="A9" s="360"/>
      <c r="B9" s="363" t="s">
        <v>966</v>
      </c>
      <c r="C9" s="363"/>
      <c r="D9" s="363"/>
      <c r="E9" s="363"/>
      <c r="F9" s="363"/>
      <c r="G9" s="34"/>
    </row>
    <row r="10" spans="1:7" ht="27" customHeight="1">
      <c r="A10" s="360"/>
      <c r="B10" s="364" t="s">
        <v>506</v>
      </c>
      <c r="C10" s="364"/>
      <c r="D10" s="364"/>
      <c r="E10" s="364"/>
      <c r="F10" s="364"/>
      <c r="G10" s="34"/>
    </row>
    <row r="11" spans="1:7" ht="27" customHeight="1">
      <c r="A11" s="360"/>
      <c r="B11" s="365"/>
      <c r="C11" s="365"/>
      <c r="D11" s="365"/>
      <c r="E11" s="365"/>
      <c r="F11" s="365"/>
      <c r="G11" s="34"/>
    </row>
    <row r="12" spans="1:7" ht="16.5">
      <c r="A12" s="360"/>
      <c r="B12" s="42" t="s">
        <v>964</v>
      </c>
      <c r="C12" s="43" t="s">
        <v>967</v>
      </c>
      <c r="D12" s="212" t="s">
        <v>968</v>
      </c>
      <c r="E12" s="43" t="s">
        <v>701</v>
      </c>
      <c r="F12" s="43" t="s">
        <v>702</v>
      </c>
      <c r="G12" s="34"/>
    </row>
    <row r="13" spans="1:7" ht="33.75">
      <c r="A13" s="360"/>
      <c r="B13" s="2">
        <v>1</v>
      </c>
      <c r="C13" s="37" t="s">
        <v>1208</v>
      </c>
      <c r="D13" s="39" t="s">
        <v>992</v>
      </c>
      <c r="E13" s="196" t="s">
        <v>969</v>
      </c>
      <c r="F13" s="196"/>
      <c r="G13" s="34"/>
    </row>
    <row r="14" spans="1:7" ht="33.75">
      <c r="A14" s="360"/>
      <c r="B14" s="2">
        <v>2</v>
      </c>
      <c r="C14" s="37" t="s">
        <v>1208</v>
      </c>
      <c r="D14" s="39" t="s">
        <v>1142</v>
      </c>
      <c r="E14" s="196" t="s">
        <v>602</v>
      </c>
      <c r="F14" s="196" t="s">
        <v>603</v>
      </c>
      <c r="G14" s="34"/>
    </row>
    <row r="15" spans="1:7" ht="89.1" customHeight="1">
      <c r="A15" s="360"/>
      <c r="B15" s="366">
        <v>2.0099999999999998</v>
      </c>
      <c r="C15" s="357" t="s">
        <v>1208</v>
      </c>
      <c r="D15" s="369" t="s">
        <v>2686</v>
      </c>
      <c r="E15" s="197" t="s">
        <v>703</v>
      </c>
      <c r="F15" s="197" t="s">
        <v>706</v>
      </c>
      <c r="G15" s="34"/>
    </row>
    <row r="16" spans="1:7" ht="99" customHeight="1">
      <c r="A16" s="360"/>
      <c r="B16" s="367"/>
      <c r="C16" s="358"/>
      <c r="D16" s="370"/>
      <c r="E16" s="198"/>
      <c r="F16" s="198" t="s">
        <v>704</v>
      </c>
      <c r="G16" s="34"/>
    </row>
    <row r="17" spans="1:7" ht="63" customHeight="1">
      <c r="A17" s="360"/>
      <c r="B17" s="368"/>
      <c r="C17" s="359"/>
      <c r="D17" s="371"/>
      <c r="E17" s="37"/>
      <c r="F17" s="37" t="s">
        <v>705</v>
      </c>
      <c r="G17" s="34"/>
    </row>
    <row r="18" spans="1:7" ht="117" customHeight="1">
      <c r="A18" s="360"/>
      <c r="B18" s="366">
        <v>2.02</v>
      </c>
      <c r="C18" s="357" t="s">
        <v>1208</v>
      </c>
      <c r="D18" s="369" t="s">
        <v>2687</v>
      </c>
      <c r="E18" s="197" t="s">
        <v>507</v>
      </c>
      <c r="F18" s="197" t="s">
        <v>596</v>
      </c>
      <c r="G18" s="34"/>
    </row>
    <row r="19" spans="1:7" ht="71.099999999999994" customHeight="1">
      <c r="A19" s="360"/>
      <c r="B19" s="367"/>
      <c r="C19" s="358"/>
      <c r="D19" s="370"/>
      <c r="E19" s="198" t="s">
        <v>601</v>
      </c>
      <c r="F19" s="198" t="s">
        <v>508</v>
      </c>
      <c r="G19" s="34"/>
    </row>
    <row r="20" spans="1:7" ht="90.75" customHeight="1">
      <c r="A20" s="360"/>
      <c r="B20" s="367"/>
      <c r="C20" s="358"/>
      <c r="D20" s="370"/>
      <c r="E20" s="198"/>
      <c r="F20" s="198" t="s">
        <v>708</v>
      </c>
      <c r="G20" s="34"/>
    </row>
    <row r="21" spans="1:7" ht="74.25" customHeight="1">
      <c r="A21" s="360"/>
      <c r="B21" s="368"/>
      <c r="C21" s="359"/>
      <c r="D21" s="371"/>
      <c r="E21" s="37"/>
      <c r="F21" s="37" t="s">
        <v>707</v>
      </c>
      <c r="G21" s="34"/>
    </row>
    <row r="22" spans="1:7" ht="90" customHeight="1">
      <c r="A22" s="360"/>
      <c r="B22" s="351">
        <v>2.0299999999999998</v>
      </c>
      <c r="C22" s="351" t="s">
        <v>935</v>
      </c>
      <c r="D22" s="354" t="s">
        <v>2688</v>
      </c>
      <c r="E22" s="357" t="s">
        <v>505</v>
      </c>
      <c r="F22" s="197" t="s">
        <v>529</v>
      </c>
      <c r="G22" s="34"/>
    </row>
    <row r="23" spans="1:7" ht="109.5" customHeight="1">
      <c r="A23" s="360"/>
      <c r="B23" s="352"/>
      <c r="C23" s="352"/>
      <c r="D23" s="355"/>
      <c r="E23" s="358"/>
      <c r="F23" s="198" t="s">
        <v>936</v>
      </c>
      <c r="G23" s="34"/>
    </row>
    <row r="24" spans="1:7" ht="74.25" customHeight="1">
      <c r="A24" s="360"/>
      <c r="B24" s="353"/>
      <c r="C24" s="353"/>
      <c r="D24" s="356"/>
      <c r="E24" s="359"/>
      <c r="F24" s="37" t="s">
        <v>504</v>
      </c>
      <c r="G24" s="34"/>
    </row>
    <row r="25" spans="1:7" ht="72" customHeight="1">
      <c r="A25" s="360"/>
      <c r="B25" s="2" t="s">
        <v>527</v>
      </c>
      <c r="C25" s="37" t="s">
        <v>528</v>
      </c>
      <c r="D25" s="39" t="s">
        <v>2689</v>
      </c>
      <c r="E25" s="37" t="s">
        <v>2682</v>
      </c>
      <c r="F25" s="37" t="s">
        <v>530</v>
      </c>
      <c r="G25" s="34"/>
    </row>
    <row r="26" spans="1:7" ht="98.1" customHeight="1">
      <c r="A26" s="360"/>
      <c r="B26" s="372">
        <v>3</v>
      </c>
      <c r="C26" s="366" t="s">
        <v>74</v>
      </c>
      <c r="D26" s="369" t="s">
        <v>2690</v>
      </c>
      <c r="E26" s="357" t="s">
        <v>0</v>
      </c>
      <c r="F26" s="197" t="s">
        <v>68</v>
      </c>
      <c r="G26" s="34"/>
    </row>
    <row r="27" spans="1:7" ht="90" customHeight="1">
      <c r="A27" s="360"/>
      <c r="B27" s="373"/>
      <c r="C27" s="367"/>
      <c r="D27" s="370"/>
      <c r="E27" s="358"/>
      <c r="F27" s="198" t="s">
        <v>63</v>
      </c>
      <c r="G27" s="34"/>
    </row>
    <row r="28" spans="1:7" ht="19.350000000000001" customHeight="1">
      <c r="A28" s="360"/>
      <c r="B28" s="373"/>
      <c r="C28" s="367"/>
      <c r="D28" s="370"/>
      <c r="E28" s="358"/>
      <c r="F28" s="198" t="s">
        <v>64</v>
      </c>
      <c r="G28" s="34"/>
    </row>
    <row r="29" spans="1:7" ht="74.650000000000006" customHeight="1">
      <c r="A29" s="360"/>
      <c r="B29" s="373"/>
      <c r="C29" s="367"/>
      <c r="D29" s="370"/>
      <c r="E29" s="358"/>
      <c r="F29" s="198" t="s">
        <v>65</v>
      </c>
      <c r="G29" s="34"/>
    </row>
    <row r="30" spans="1:7" ht="62.65" customHeight="1">
      <c r="A30" s="360"/>
      <c r="B30" s="373"/>
      <c r="C30" s="367"/>
      <c r="D30" s="370"/>
      <c r="E30" s="358"/>
      <c r="F30" s="198" t="s">
        <v>66</v>
      </c>
      <c r="G30" s="34"/>
    </row>
    <row r="31" spans="1:7" ht="81" customHeight="1">
      <c r="A31" s="360"/>
      <c r="B31" s="373"/>
      <c r="C31" s="367"/>
      <c r="D31" s="370"/>
      <c r="E31" s="358"/>
      <c r="F31" s="198" t="s">
        <v>67</v>
      </c>
      <c r="G31" s="34"/>
    </row>
    <row r="32" spans="1:7" ht="48.75" customHeight="1">
      <c r="A32" s="360"/>
      <c r="B32" s="373"/>
      <c r="C32" s="367"/>
      <c r="D32" s="370"/>
      <c r="E32" s="358"/>
      <c r="F32" s="198" t="s">
        <v>70</v>
      </c>
      <c r="G32" s="34"/>
    </row>
    <row r="33" spans="1:7" ht="98.65" customHeight="1">
      <c r="A33" s="360"/>
      <c r="B33" s="373"/>
      <c r="C33" s="367"/>
      <c r="D33" s="370"/>
      <c r="E33" s="358"/>
      <c r="F33" s="198" t="s">
        <v>69</v>
      </c>
      <c r="G33" s="34"/>
    </row>
    <row r="34" spans="1:7" ht="89.1" customHeight="1">
      <c r="A34" s="360"/>
      <c r="B34" s="373"/>
      <c r="C34" s="367"/>
      <c r="D34" s="370"/>
      <c r="E34" s="358"/>
      <c r="F34" s="198" t="s">
        <v>71</v>
      </c>
      <c r="G34" s="34"/>
    </row>
    <row r="35" spans="1:7" ht="29.1" customHeight="1">
      <c r="A35" s="360"/>
      <c r="B35" s="373"/>
      <c r="C35" s="367"/>
      <c r="D35" s="370"/>
      <c r="E35" s="358"/>
      <c r="F35" s="198" t="s">
        <v>72</v>
      </c>
      <c r="G35" s="34"/>
    </row>
    <row r="36" spans="1:7" ht="126.75">
      <c r="A36" s="360"/>
      <c r="B36" s="374"/>
      <c r="C36" s="368"/>
      <c r="D36" s="371"/>
      <c r="E36" s="359"/>
      <c r="F36" s="199" t="s">
        <v>73</v>
      </c>
      <c r="G36" s="34"/>
    </row>
    <row r="37" spans="1:7" ht="123.75">
      <c r="A37" s="360"/>
      <c r="B37" s="175">
        <v>3.01</v>
      </c>
      <c r="C37" s="176" t="s">
        <v>74</v>
      </c>
      <c r="D37" s="39" t="s">
        <v>2691</v>
      </c>
      <c r="E37" s="200" t="s">
        <v>1458</v>
      </c>
      <c r="F37" s="201" t="s">
        <v>1577</v>
      </c>
      <c r="G37" s="34"/>
    </row>
    <row r="38" spans="1:7" ht="112.5">
      <c r="A38" s="360"/>
      <c r="B38" s="175">
        <v>3.02</v>
      </c>
      <c r="C38" s="176" t="s">
        <v>1492</v>
      </c>
      <c r="D38" s="39" t="s">
        <v>2692</v>
      </c>
      <c r="E38" s="200" t="s">
        <v>1507</v>
      </c>
      <c r="F38" s="201" t="s">
        <v>1578</v>
      </c>
      <c r="G38" s="34"/>
    </row>
    <row r="39" spans="1:7" ht="101.25">
      <c r="A39" s="360"/>
      <c r="B39" s="184">
        <v>4</v>
      </c>
      <c r="C39" s="183" t="s">
        <v>1757</v>
      </c>
      <c r="D39" s="39" t="s">
        <v>2693</v>
      </c>
      <c r="E39" s="37" t="s">
        <v>2625</v>
      </c>
      <c r="F39" s="37" t="s">
        <v>1758</v>
      </c>
      <c r="G39" s="34"/>
    </row>
    <row r="40" spans="1:7" ht="56.25">
      <c r="A40" s="360"/>
      <c r="B40" s="175">
        <v>4.01</v>
      </c>
      <c r="C40" s="183" t="s">
        <v>1757</v>
      </c>
      <c r="D40" s="39" t="s">
        <v>2695</v>
      </c>
      <c r="E40" s="37" t="s">
        <v>2644</v>
      </c>
      <c r="F40" s="37" t="s">
        <v>2649</v>
      </c>
      <c r="G40" s="34"/>
    </row>
    <row r="41" spans="1:7" ht="56.25">
      <c r="A41" s="360"/>
      <c r="B41" s="175" t="s">
        <v>2680</v>
      </c>
      <c r="C41" s="183" t="s">
        <v>1757</v>
      </c>
      <c r="D41" s="39" t="s">
        <v>2694</v>
      </c>
      <c r="E41" s="37" t="s">
        <v>2683</v>
      </c>
      <c r="F41" s="37" t="s">
        <v>2681</v>
      </c>
      <c r="G41" s="34"/>
    </row>
    <row r="42" spans="1:7" ht="56.25">
      <c r="A42" s="360"/>
      <c r="B42" s="175" t="s">
        <v>2732</v>
      </c>
      <c r="C42" s="183" t="s">
        <v>1757</v>
      </c>
      <c r="D42" s="39" t="s">
        <v>2903</v>
      </c>
      <c r="E42" s="37" t="s">
        <v>2682</v>
      </c>
      <c r="F42" s="37" t="s">
        <v>2733</v>
      </c>
      <c r="G42" s="34"/>
    </row>
    <row r="43" spans="1:7" ht="123.75">
      <c r="A43" s="360"/>
      <c r="B43" s="193">
        <v>4.0999999999999996</v>
      </c>
      <c r="C43" s="183" t="s">
        <v>2902</v>
      </c>
      <c r="D43" s="194">
        <v>42867</v>
      </c>
      <c r="E43" s="202" t="s">
        <v>2905</v>
      </c>
      <c r="F43" s="37" t="s">
        <v>2904</v>
      </c>
      <c r="G43" s="34"/>
    </row>
    <row r="44" spans="1:7" ht="78.75">
      <c r="A44" s="360"/>
      <c r="B44" s="193">
        <v>4.2</v>
      </c>
      <c r="C44" s="183" t="s">
        <v>2902</v>
      </c>
      <c r="D44" s="194">
        <v>42704</v>
      </c>
      <c r="E44" s="202" t="s">
        <v>3155</v>
      </c>
      <c r="F44" s="37" t="s">
        <v>3120</v>
      </c>
      <c r="G44" s="34"/>
    </row>
    <row r="45" spans="1:7" ht="157.5">
      <c r="A45" s="360"/>
      <c r="B45" s="241">
        <v>5</v>
      </c>
      <c r="C45" s="183" t="s">
        <v>2902</v>
      </c>
      <c r="D45" s="194">
        <v>42867</v>
      </c>
      <c r="E45" s="202" t="s">
        <v>13730</v>
      </c>
      <c r="F45" s="37" t="s">
        <v>13315</v>
      </c>
      <c r="G45" s="34"/>
    </row>
    <row r="46" spans="1:7" ht="45">
      <c r="A46" s="360"/>
      <c r="B46" s="193">
        <v>5.01</v>
      </c>
      <c r="C46" s="183" t="s">
        <v>2902</v>
      </c>
      <c r="D46" s="194">
        <v>42907</v>
      </c>
      <c r="E46" s="202" t="s">
        <v>13786</v>
      </c>
      <c r="F46" s="37" t="s">
        <v>13315</v>
      </c>
      <c r="G46" s="34"/>
    </row>
    <row r="47" spans="1:7" ht="67.5">
      <c r="A47" s="360"/>
      <c r="B47" s="193">
        <v>5.0999999999999996</v>
      </c>
      <c r="C47" s="183" t="s">
        <v>2902</v>
      </c>
      <c r="D47" s="194">
        <v>43070</v>
      </c>
      <c r="E47" s="202" t="s">
        <v>13985</v>
      </c>
      <c r="F47" s="37" t="s">
        <v>13986</v>
      </c>
      <c r="G47" s="34"/>
    </row>
    <row r="48" spans="1:7" ht="56.25">
      <c r="A48" s="360"/>
      <c r="B48" s="193">
        <v>5.1100000000000003</v>
      </c>
      <c r="C48" s="183" t="s">
        <v>14260</v>
      </c>
      <c r="D48" s="194">
        <v>43217</v>
      </c>
      <c r="E48" s="202" t="s">
        <v>14404</v>
      </c>
      <c r="F48" s="37" t="s">
        <v>14299</v>
      </c>
      <c r="G48" s="34"/>
    </row>
    <row r="49" spans="1:7" ht="56.25">
      <c r="A49" s="360"/>
      <c r="B49" s="193">
        <v>5.12</v>
      </c>
      <c r="C49" s="183" t="s">
        <v>14260</v>
      </c>
      <c r="D49" s="194">
        <v>43581</v>
      </c>
      <c r="E49" s="202" t="s">
        <v>14404</v>
      </c>
      <c r="F49" s="37" t="s">
        <v>15467</v>
      </c>
      <c r="G49" s="34"/>
    </row>
    <row r="50" spans="1:7" ht="13.5" thickBot="1">
      <c r="A50" s="361"/>
      <c r="B50" s="362" t="str">
        <f ca="1">OFFSET(L!$C$1,MATCH("General"&amp;"Cpy",L!$A:$A,0)-1,SL,,)</f>
        <v>© 2019 Responsible Minerals Initiative. All rights reserved.</v>
      </c>
      <c r="C50" s="362"/>
      <c r="D50" s="362"/>
      <c r="E50" s="362"/>
      <c r="F50" s="36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7" zoomScale="60" zoomScaleNormal="60" zoomScalePageLayoutView="60" workbookViewId="0">
      <selection activeCell="A49" sqref="A49"/>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75">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75">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5"/>
      <c r="B1" s="376"/>
      <c r="C1" s="376"/>
      <c r="D1" s="377"/>
    </row>
    <row r="2" spans="1:5" ht="71.25" customHeight="1">
      <c r="A2" s="90"/>
      <c r="B2" s="171" t="str">
        <f ca="1">OFFSET(L!$C$1,MATCH("Definitions"&amp;ADDRESS(ROW(),COLUMN(),4),L!$A:$A,0)-1,SL,,)</f>
        <v>ITEM</v>
      </c>
      <c r="C2" s="171" t="str">
        <f ca="1">OFFSET(L!$C$1,MATCH("Definitions"&amp;ADDRESS(ROW(),COLUMN(),4),L!$A:$A,0)-1,SL,,)</f>
        <v>DEFINITION</v>
      </c>
      <c r="D2" s="379"/>
      <c r="E2" s="131"/>
    </row>
    <row r="3" spans="1:5" ht="64.150000000000006" customHeight="1">
      <c r="A3" s="90"/>
      <c r="B3" s="77" t="str">
        <f ca="1">OFFSET(L!$C$1,MATCH("Definitions"&amp;ADDRESS(ROW(),COLUMN(),4),L!$A:$A,0)-1,SL,,)</f>
        <v>3TG</v>
      </c>
      <c r="C3" s="77" t="str">
        <f ca="1">OFFSET(L!$C$1,MATCH("Definitions"&amp;ADDRESS(ROW(),COLUMN(),4),L!$A:$A,0)-1,SL,,)</f>
        <v>Tantalum, tin, tungsten, gold</v>
      </c>
      <c r="D3" s="379"/>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9"/>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9"/>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9"/>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9"/>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9"/>
      <c r="E8" s="132" t="s">
        <v>1443</v>
      </c>
    </row>
    <row r="9" spans="1:5" ht="45">
      <c r="A9" s="90"/>
      <c r="B9" s="77" t="str">
        <f ca="1">OFFSET(L!$C$1,MATCH("Definitions"&amp;ADDRESS(ROW(),COLUMN(),4),L!$A:$A,0)-1,SL,,)</f>
        <v>DRC</v>
      </c>
      <c r="C9" s="77" t="str">
        <f ca="1">OFFSET(L!$C$1,MATCH("Definitions"&amp;ADDRESS(ROW(),COLUMN(),4),L!$A:$A,0)-1,SL,,)</f>
        <v>Democratic Republic of Congo</v>
      </c>
      <c r="D9" s="379"/>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9"/>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9"/>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9"/>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9"/>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9"/>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9"/>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9"/>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9"/>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9"/>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9"/>
      <c r="E19" s="132"/>
    </row>
    <row r="20" spans="1:5" ht="15">
      <c r="A20" s="90"/>
      <c r="B20" s="77" t="str">
        <f ca="1">OFFSET(L!$C$1,MATCH("Definitions"&amp;ADDRESS(ROW(),COLUMN(),4),L!$A:$A,0)-1,SL,,)</f>
        <v>RBA</v>
      </c>
      <c r="C20" s="77" t="str">
        <f ca="1">OFFSET(L!$C$1,MATCH("Definitions"&amp;ADDRESS(ROW(),COLUMN(),4),L!$A:$A,0)-1,SL,,)</f>
        <v>Responsible Business Alliance (www.responsiblebusiness.org)</v>
      </c>
      <c r="D20" s="379"/>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9"/>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9"/>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9"/>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9"/>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9"/>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9"/>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9"/>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9"/>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9"/>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9"/>
      <c r="E30" s="132"/>
    </row>
    <row r="31" spans="1:5" ht="15">
      <c r="A31" s="90"/>
      <c r="B31" s="378" t="str">
        <f ca="1">OFFSET(L!$C$1,MATCH("General"&amp;"Cpy",L!$A:$A,0)-1,SL,,)</f>
        <v>© 2019 Responsible Minerals Initiative. All rights reserved.</v>
      </c>
      <c r="C31" s="378"/>
      <c r="D31" s="379"/>
      <c r="E31" s="132"/>
    </row>
    <row r="32" spans="1:5" ht="13.5" thickBot="1">
      <c r="A32" s="91"/>
      <c r="B32" s="187"/>
      <c r="C32" s="187"/>
      <c r="D32" s="380"/>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60" zoomScaleNormal="60"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3" t="str">
        <f ca="1">OFFSET(L!$C$1,MATCH("Declaration"&amp;ADDRESS(ROW(),COLUMN(),4),L!$A:$A,0)-1,SL,,)</f>
        <v>Conflict Minerals Reporting Template (CMRT)</v>
      </c>
      <c r="E2" s="404"/>
      <c r="F2" s="404"/>
      <c r="G2" s="404"/>
      <c r="H2" s="404"/>
      <c r="I2" s="404"/>
      <c r="J2" s="405"/>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3"/>
      <c r="G3" s="413"/>
      <c r="H3" s="413"/>
      <c r="I3" s="186"/>
      <c r="J3" s="172" t="s">
        <v>15472</v>
      </c>
      <c r="K3" s="47"/>
      <c r="L3" s="143"/>
      <c r="M3" s="134"/>
      <c r="N3" s="134"/>
      <c r="O3" s="135"/>
      <c r="P3" s="148">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06" t="s">
        <v>15494</v>
      </c>
      <c r="E8" s="407"/>
      <c r="F8" s="407"/>
      <c r="G8" s="407"/>
      <c r="H8" s="407"/>
      <c r="I8" s="407"/>
      <c r="J8" s="408"/>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15" t="s">
        <v>564</v>
      </c>
      <c r="E9" s="416"/>
      <c r="F9" s="416"/>
      <c r="G9" s="417"/>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19" t="str">
        <f ca="1">OFFSET(L!$C$1,MATCH("Declaration"&amp;ADDRESS(ROW(),COLUMN(),4)&amp;LEFT($D$9,1),L!$A:$A,0)-1,SL,,)</f>
        <v>Description of Scope:</v>
      </c>
      <c r="C10" s="155"/>
      <c r="D10" s="410" t="s">
        <v>15495</v>
      </c>
      <c r="E10" s="411"/>
      <c r="F10" s="411"/>
      <c r="G10" s="411"/>
      <c r="H10" s="411"/>
      <c r="I10" s="411"/>
      <c r="J10" s="412"/>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0"/>
      <c r="C11" s="155"/>
      <c r="D11" s="429" t="str">
        <f ca="1">IF(D9=Q9,OFFSET(L!$C$1,MATCH("Declaration"&amp;ADDRESS(ROW(),COLUMN(),4),L!$A:$A,0)-1,SL,,),"")</f>
        <v/>
      </c>
      <c r="E11" s="430"/>
      <c r="F11" s="430"/>
      <c r="G11" s="430"/>
      <c r="H11" s="430"/>
      <c r="I11" s="430"/>
      <c r="J11" s="431"/>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389" t="s">
        <v>15496</v>
      </c>
      <c r="E12" s="390"/>
      <c r="F12" s="390"/>
      <c r="G12" s="390"/>
      <c r="H12" s="390"/>
      <c r="I12" s="390"/>
      <c r="J12" s="39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389" t="s">
        <v>15497</v>
      </c>
      <c r="E13" s="390"/>
      <c r="F13" s="390"/>
      <c r="G13" s="390"/>
      <c r="H13" s="390"/>
      <c r="I13" s="390"/>
      <c r="J13" s="39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389" t="s">
        <v>15498</v>
      </c>
      <c r="E14" s="390"/>
      <c r="F14" s="390"/>
      <c r="G14" s="390"/>
      <c r="H14" s="390"/>
      <c r="I14" s="390"/>
      <c r="J14" s="39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389" t="s">
        <v>15499</v>
      </c>
      <c r="E15" s="390"/>
      <c r="F15" s="390"/>
      <c r="G15" s="390"/>
      <c r="H15" s="390"/>
      <c r="I15" s="390"/>
      <c r="J15" s="39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1" t="s">
        <v>15500</v>
      </c>
      <c r="E16" s="422"/>
      <c r="F16" s="422"/>
      <c r="G16" s="422"/>
      <c r="H16" s="422"/>
      <c r="I16" s="422"/>
      <c r="J16" s="423"/>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389" t="s">
        <v>15501</v>
      </c>
      <c r="E17" s="390"/>
      <c r="F17" s="390"/>
      <c r="G17" s="390"/>
      <c r="H17" s="390"/>
      <c r="I17" s="390"/>
      <c r="J17" s="39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389" t="s">
        <v>15499</v>
      </c>
      <c r="E18" s="390"/>
      <c r="F18" s="390"/>
      <c r="G18" s="390"/>
      <c r="H18" s="390"/>
      <c r="I18" s="390"/>
      <c r="J18" s="39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389" t="s">
        <v>15502</v>
      </c>
      <c r="E19" s="390"/>
      <c r="F19" s="390"/>
      <c r="G19" s="390"/>
      <c r="H19" s="390"/>
      <c r="I19" s="390"/>
      <c r="J19" s="39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1" t="s">
        <v>15500</v>
      </c>
      <c r="E20" s="422"/>
      <c r="F20" s="422"/>
      <c r="G20" s="422"/>
      <c r="H20" s="422"/>
      <c r="I20" s="422"/>
      <c r="J20" s="423"/>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389" t="s">
        <v>15501</v>
      </c>
      <c r="E21" s="390"/>
      <c r="F21" s="390"/>
      <c r="G21" s="390"/>
      <c r="H21" s="390"/>
      <c r="I21" s="390"/>
      <c r="J21" s="39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392">
        <v>43620</v>
      </c>
      <c r="E22" s="39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6"/>
      <c r="E23" s="426"/>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394" t="str">
        <f ca="1">OFFSET(L!$C$1,MATCH("Declaration"&amp;ADDRESS(ROW(),COLUMN(),4),L!$A:$A,0)-1,SL,,)</f>
        <v>Answer the following questions 1 - 7 based on the declaration scope indicated above</v>
      </c>
      <c r="C24" s="394"/>
      <c r="D24" s="394"/>
      <c r="E24" s="394"/>
      <c r="F24" s="394"/>
      <c r="G24" s="394"/>
      <c r="H24" s="394"/>
      <c r="I24" s="394"/>
      <c r="J24" s="39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1" t="s">
        <v>559</v>
      </c>
      <c r="E26" s="382"/>
      <c r="F26" s="15"/>
      <c r="G26" s="383"/>
      <c r="H26" s="384"/>
      <c r="I26" s="384"/>
      <c r="J26" s="385"/>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1" t="s">
        <v>559</v>
      </c>
      <c r="E27" s="382"/>
      <c r="F27" s="15"/>
      <c r="G27" s="383"/>
      <c r="H27" s="384"/>
      <c r="I27" s="384"/>
      <c r="J27" s="385"/>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1" t="s">
        <v>559</v>
      </c>
      <c r="E28" s="382"/>
      <c r="F28" s="15"/>
      <c r="G28" s="383"/>
      <c r="H28" s="384"/>
      <c r="I28" s="384"/>
      <c r="J28" s="385"/>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1" t="s">
        <v>558</v>
      </c>
      <c r="E29" s="382"/>
      <c r="F29" s="15"/>
      <c r="G29" s="383"/>
      <c r="H29" s="384"/>
      <c r="I29" s="384"/>
      <c r="J29" s="385"/>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88" t="str">
        <f ca="1">D25</f>
        <v>Answer</v>
      </c>
      <c r="E31" s="388"/>
      <c r="F31" s="21"/>
      <c r="G31" s="55" t="str">
        <f ca="1">G25</f>
        <v>Comments</v>
      </c>
      <c r="H31" s="55"/>
      <c r="I31" s="55"/>
      <c r="J31" s="99"/>
      <c r="K31" s="47"/>
      <c r="L31" s="140" t="s">
        <v>1369</v>
      </c>
      <c r="M31" s="134"/>
      <c r="N31" s="134"/>
      <c r="O31" s="135"/>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3"/>
      <c r="H32" s="384"/>
      <c r="I32" s="384"/>
      <c r="J32" s="385"/>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1"/>
      <c r="E33" s="382"/>
      <c r="F33" s="58"/>
      <c r="G33" s="383"/>
      <c r="H33" s="384"/>
      <c r="I33" s="384"/>
      <c r="J33" s="385"/>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1"/>
      <c r="E34" s="382"/>
      <c r="F34" s="58"/>
      <c r="G34" s="383"/>
      <c r="H34" s="384"/>
      <c r="I34" s="384"/>
      <c r="J34" s="385"/>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1" t="s">
        <v>558</v>
      </c>
      <c r="E35" s="382"/>
      <c r="F35" s="58"/>
      <c r="G35" s="383"/>
      <c r="H35" s="384"/>
      <c r="I35" s="384"/>
      <c r="J35" s="385"/>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8" t="str">
        <f ca="1">D25</f>
        <v>Answer</v>
      </c>
      <c r="E37" s="388"/>
      <c r="F37" s="21"/>
      <c r="G37" s="55" t="str">
        <f ca="1">G25</f>
        <v>Comments</v>
      </c>
      <c r="H37" s="425"/>
      <c r="I37" s="425"/>
      <c r="J37" s="425"/>
      <c r="K37" s="47"/>
      <c r="L37" s="140" t="s">
        <v>1369</v>
      </c>
      <c r="M37" s="134"/>
      <c r="N37" s="134"/>
      <c r="O37" s="135"/>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1"/>
      <c r="E38" s="382"/>
      <c r="F38" s="58"/>
      <c r="G38" s="383"/>
      <c r="H38" s="384"/>
      <c r="I38" s="384"/>
      <c r="J38" s="385"/>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1"/>
      <c r="E39" s="382"/>
      <c r="F39" s="58"/>
      <c r="G39" s="383"/>
      <c r="H39" s="384"/>
      <c r="I39" s="384"/>
      <c r="J39" s="385"/>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1"/>
      <c r="E40" s="382"/>
      <c r="F40" s="58"/>
      <c r="G40" s="383"/>
      <c r="H40" s="384"/>
      <c r="I40" s="384"/>
      <c r="J40" s="385"/>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1" t="s">
        <v>558</v>
      </c>
      <c r="E41" s="382"/>
      <c r="F41" s="58"/>
      <c r="G41" s="383" t="s">
        <v>15503</v>
      </c>
      <c r="H41" s="384"/>
      <c r="I41" s="384"/>
      <c r="J41" s="385"/>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88" t="str">
        <f ca="1">D25</f>
        <v>Answer</v>
      </c>
      <c r="E43" s="38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81"/>
      <c r="E44" s="382"/>
      <c r="F44" s="58"/>
      <c r="G44" s="383"/>
      <c r="H44" s="384"/>
      <c r="I44" s="384"/>
      <c r="J44" s="385"/>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 xml:space="preserve">Tin  </v>
      </c>
      <c r="C45" s="13"/>
      <c r="D45" s="381"/>
      <c r="E45" s="382"/>
      <c r="F45" s="58"/>
      <c r="G45" s="383"/>
      <c r="H45" s="384"/>
      <c r="I45" s="384"/>
      <c r="J45" s="385"/>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 xml:space="preserve">Gold  </v>
      </c>
      <c r="C46" s="13"/>
      <c r="D46" s="381"/>
      <c r="E46" s="382"/>
      <c r="F46" s="58"/>
      <c r="G46" s="383"/>
      <c r="H46" s="384"/>
      <c r="I46" s="384"/>
      <c r="J46" s="385"/>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1" t="s">
        <v>559</v>
      </c>
      <c r="E47" s="382"/>
      <c r="F47" s="58"/>
      <c r="G47" s="383"/>
      <c r="H47" s="384"/>
      <c r="I47" s="384"/>
      <c r="J47" s="385"/>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What percentage of relevant suppliers have provided a response to your supply chain survey?  (*)</v>
      </c>
      <c r="C49" s="13"/>
      <c r="D49" s="388" t="str">
        <f ca="1">D25</f>
        <v>Answer</v>
      </c>
      <c r="E49" s="38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86"/>
      <c r="E50" s="387"/>
      <c r="F50" s="58"/>
      <c r="G50" s="383"/>
      <c r="H50" s="384"/>
      <c r="I50" s="384"/>
      <c r="J50" s="385"/>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46"/>
      <c r="D51" s="386"/>
      <c r="E51" s="387"/>
      <c r="F51" s="58"/>
      <c r="G51" s="383"/>
      <c r="H51" s="384"/>
      <c r="I51" s="384"/>
      <c r="J51" s="385"/>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46"/>
      <c r="D52" s="386"/>
      <c r="E52" s="387"/>
      <c r="F52" s="58"/>
      <c r="G52" s="383"/>
      <c r="H52" s="384"/>
      <c r="I52" s="384"/>
      <c r="J52" s="385"/>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86">
        <v>1</v>
      </c>
      <c r="E53" s="387"/>
      <c r="F53" s="58"/>
      <c r="G53" s="383"/>
      <c r="H53" s="384"/>
      <c r="I53" s="384"/>
      <c r="J53" s="385"/>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88" t="str">
        <f ca="1">D25</f>
        <v>Answer</v>
      </c>
      <c r="E55" s="388"/>
      <c r="F55" s="21"/>
      <c r="G55" s="55" t="str">
        <f ca="1">G25</f>
        <v>Comments</v>
      </c>
      <c r="H55" s="424"/>
      <c r="I55" s="424"/>
      <c r="J55" s="424"/>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83"/>
      <c r="H56" s="384"/>
      <c r="I56" s="384"/>
      <c r="J56" s="385"/>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13"/>
      <c r="D57" s="381"/>
      <c r="E57" s="382"/>
      <c r="F57" s="58"/>
      <c r="G57" s="383"/>
      <c r="H57" s="384"/>
      <c r="I57" s="384"/>
      <c r="J57" s="385"/>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13"/>
      <c r="D58" s="381"/>
      <c r="E58" s="382"/>
      <c r="F58" s="58"/>
      <c r="G58" s="383"/>
      <c r="H58" s="384"/>
      <c r="I58" s="384"/>
      <c r="J58" s="385"/>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81" t="s">
        <v>558</v>
      </c>
      <c r="E59" s="382"/>
      <c r="F59" s="58"/>
      <c r="G59" s="383"/>
      <c r="H59" s="384"/>
      <c r="I59" s="384"/>
      <c r="J59" s="385"/>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88" t="str">
        <f ca="1">D25</f>
        <v>Answer</v>
      </c>
      <c r="E61" s="388"/>
      <c r="F61" s="21"/>
      <c r="G61" s="55" t="str">
        <f ca="1">G25</f>
        <v>Comments</v>
      </c>
      <c r="H61" s="424" t="str">
        <f>IF(Q69="(*)","Click here to enter smelter names","")</f>
        <v/>
      </c>
      <c r="I61" s="424"/>
      <c r="J61" s="424"/>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81"/>
      <c r="E62" s="382"/>
      <c r="F62" s="59"/>
      <c r="G62" s="383"/>
      <c r="H62" s="384"/>
      <c r="I62" s="384"/>
      <c r="J62" s="385"/>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46"/>
      <c r="D63" s="381"/>
      <c r="E63" s="382"/>
      <c r="F63" s="59"/>
      <c r="G63" s="383"/>
      <c r="H63" s="384"/>
      <c r="I63" s="384"/>
      <c r="J63" s="385"/>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46"/>
      <c r="D64" s="381"/>
      <c r="E64" s="382"/>
      <c r="F64" s="59"/>
      <c r="G64" s="383"/>
      <c r="H64" s="384"/>
      <c r="I64" s="384"/>
      <c r="J64" s="385"/>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81" t="s">
        <v>558</v>
      </c>
      <c r="E65" s="382"/>
      <c r="F65" s="61"/>
      <c r="G65" s="383"/>
      <c r="H65" s="384"/>
      <c r="I65" s="384"/>
      <c r="J65" s="385"/>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8" t="str">
        <f ca="1">OFFSET(L!$C$1,MATCH("Declaration"&amp;ADDRESS(ROW(),COLUMN(),4),L!$A:$A,0)-1,SL,,)</f>
        <v>Answer the Following Questions at a Company Level</v>
      </c>
      <c r="C67" s="438"/>
      <c r="D67" s="438"/>
      <c r="E67" s="438"/>
      <c r="F67" s="438"/>
      <c r="G67" s="438"/>
      <c r="H67" s="438"/>
      <c r="I67" s="438"/>
      <c r="J67" s="438"/>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27" t="str">
        <f ca="1">D25</f>
        <v>Answer</v>
      </c>
      <c r="E68" s="427"/>
      <c r="F68" s="64"/>
      <c r="G68" s="427" t="str">
        <f ca="1">G25</f>
        <v>Comments</v>
      </c>
      <c r="H68" s="427" t="e">
        <f>HLOOKUP(SL,LT,$O68,0)</f>
        <v>#NAME?</v>
      </c>
      <c r="I68" s="427"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1" t="s">
        <v>558</v>
      </c>
      <c r="E69" s="382"/>
      <c r="F69" s="68"/>
      <c r="G69" s="383"/>
      <c r="H69" s="384"/>
      <c r="I69" s="384"/>
      <c r="J69" s="385"/>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28"/>
      <c r="H70" s="428"/>
      <c r="I70" s="428"/>
      <c r="J70" s="42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1" t="s">
        <v>558</v>
      </c>
      <c r="E71" s="382"/>
      <c r="F71" s="68"/>
      <c r="G71" s="397" t="s">
        <v>15504</v>
      </c>
      <c r="H71" s="398"/>
      <c r="I71" s="398"/>
      <c r="J71" s="399"/>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1" t="s">
        <v>558</v>
      </c>
      <c r="E73" s="382"/>
      <c r="F73" s="68"/>
      <c r="G73" s="383"/>
      <c r="H73" s="384"/>
      <c r="I73" s="384"/>
      <c r="J73" s="385"/>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1" t="s">
        <v>558</v>
      </c>
      <c r="E75" s="382"/>
      <c r="F75" s="68"/>
      <c r="G75" s="383"/>
      <c r="H75" s="384"/>
      <c r="I75" s="384"/>
      <c r="J75" s="385"/>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1" t="s">
        <v>558</v>
      </c>
      <c r="E77" s="382"/>
      <c r="F77" s="68"/>
      <c r="G77" s="383"/>
      <c r="H77" s="384"/>
      <c r="I77" s="384"/>
      <c r="J77" s="385"/>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5" t="s">
        <v>13311</v>
      </c>
      <c r="E79" s="436"/>
      <c r="F79" s="68"/>
      <c r="G79" s="383"/>
      <c r="H79" s="384"/>
      <c r="I79" s="384"/>
      <c r="J79" s="385"/>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28"/>
      <c r="H80" s="428"/>
      <c r="I80" s="428"/>
      <c r="J80" s="42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1" t="s">
        <v>558</v>
      </c>
      <c r="E81" s="382"/>
      <c r="F81" s="68"/>
      <c r="G81" s="383"/>
      <c r="H81" s="384"/>
      <c r="I81" s="384"/>
      <c r="J81" s="385"/>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37"/>
      <c r="H82" s="437"/>
      <c r="I82" s="437"/>
      <c r="J82" s="437"/>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1" t="s">
        <v>558</v>
      </c>
      <c r="E83" s="382"/>
      <c r="F83" s="68"/>
      <c r="G83" s="383"/>
      <c r="H83" s="384"/>
      <c r="I83" s="384"/>
      <c r="J83" s="385"/>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1" t="s">
        <v>559</v>
      </c>
      <c r="E85" s="382"/>
      <c r="F85" s="68"/>
      <c r="G85" s="383"/>
      <c r="H85" s="384"/>
      <c r="I85" s="384"/>
      <c r="J85" s="385"/>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4" t="str">
        <f>IF(OR($D$8="",$I$3=""),"","Click here to check required fields completion")</f>
        <v/>
      </c>
      <c r="C86" s="434"/>
      <c r="D86" s="434"/>
      <c r="E86" s="434"/>
      <c r="F86" s="434"/>
      <c r="G86" s="434"/>
      <c r="H86" s="434"/>
      <c r="I86" s="434"/>
      <c r="J86" s="434"/>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32" t="str">
        <f ca="1">OFFSET(L!$C$1,MATCH("General"&amp;"Cpy",L!$A:$A,0)-1,SL,,)</f>
        <v>© 2019 Responsible Minerals Initiative. All rights reserved.</v>
      </c>
      <c r="B87" s="433"/>
      <c r="C87" s="433"/>
      <c r="D87" s="433"/>
      <c r="E87" s="433"/>
      <c r="F87" s="433"/>
      <c r="G87" s="433"/>
      <c r="H87" s="433"/>
      <c r="I87" s="433"/>
      <c r="J87" s="433"/>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2" stopIfTrue="1">
      <formula>AND(OR($D$26="No",AND($D$26="Yes",$D$32="No")),OR($D$27="No",AND($D$27="Yes",$D$33="No")), OR($D$28="No",AND($D$28="Yes",$D$34="No")), OR($D$29="No",AND($D$29="Yes",$D$35="No")))</formula>
    </cfRule>
    <cfRule type="expression" dxfId="79" priority="53" stopIfTrue="1">
      <formula>IF(D69="",TRUE)</formula>
    </cfRule>
  </conditionalFormatting>
  <conditionalFormatting sqref="D26:E26">
    <cfRule type="expression" dxfId="78" priority="104" stopIfTrue="1">
      <formula>IF($D$26="",TRUE)</formula>
    </cfRule>
  </conditionalFormatting>
  <conditionalFormatting sqref="D27:E27">
    <cfRule type="expression" dxfId="77" priority="111" stopIfTrue="1">
      <formula>IF($D$27="",TRUE)</formula>
    </cfRule>
  </conditionalFormatting>
  <conditionalFormatting sqref="D28:E28">
    <cfRule type="expression" dxfId="76" priority="112" stopIfTrue="1">
      <formula>IF($D$28="",TRUE)</formula>
    </cfRule>
  </conditionalFormatting>
  <conditionalFormatting sqref="D29:E29">
    <cfRule type="expression" dxfId="75" priority="113" stopIfTrue="1">
      <formula>IF($D$29="",TRUE)</formula>
    </cfRule>
  </conditionalFormatting>
  <conditionalFormatting sqref="D8:J8">
    <cfRule type="expression" dxfId="74" priority="118" stopIfTrue="1">
      <formula>IF($D$8="",TRUE)</formula>
    </cfRule>
  </conditionalFormatting>
  <conditionalFormatting sqref="D9:G9">
    <cfRule type="expression" dxfId="73" priority="119" stopIfTrue="1">
      <formula>IF($D$9="",TRUE)</formula>
    </cfRule>
  </conditionalFormatting>
  <conditionalFormatting sqref="D15:J15">
    <cfRule type="expression" dxfId="72" priority="120" stopIfTrue="1">
      <formula>IF($D$15="",TRUE)</formula>
    </cfRule>
  </conditionalFormatting>
  <conditionalFormatting sqref="D16:J16">
    <cfRule type="expression" dxfId="71" priority="121" stopIfTrue="1">
      <formula>IF($D$16="",TRUE)</formula>
    </cfRule>
  </conditionalFormatting>
  <conditionalFormatting sqref="D17:J17">
    <cfRule type="expression" dxfId="70" priority="122" stopIfTrue="1">
      <formula>IF($D$17="",TRUE)</formula>
    </cfRule>
  </conditionalFormatting>
  <conditionalFormatting sqref="D18:J18">
    <cfRule type="expression" dxfId="69" priority="123" stopIfTrue="1">
      <formula>IF($D$18="",TRUE)</formula>
    </cfRule>
  </conditionalFormatting>
  <conditionalFormatting sqref="D22:E22">
    <cfRule type="expression" dxfId="68" priority="126" stopIfTrue="1">
      <formula>IF($D$22="",TRUE)</formula>
    </cfRule>
  </conditionalFormatting>
  <conditionalFormatting sqref="D10:J10">
    <cfRule type="expression" dxfId="67" priority="23" stopIfTrue="1">
      <formula>IF($D$9=$Q$9,TRUE)</formula>
    </cfRule>
    <cfRule type="expression" dxfId="66" priority="133" stopIfTrue="1">
      <formula>IF(AND($D$10="",$D$9=$R$9),TRUE)</formula>
    </cfRule>
  </conditionalFormatting>
  <conditionalFormatting sqref="D34:E34 D40:E40 D46:E46 D52:E52 D58:E58 D64:E64">
    <cfRule type="expression" dxfId="65" priority="16" stopIfTrue="1">
      <formula>$P$28=""</formula>
    </cfRule>
  </conditionalFormatting>
  <conditionalFormatting sqref="D35:E35 D41:E41 D47:E47 D53:E53 D59:E59 D65:E65">
    <cfRule type="expression" dxfId="64" priority="131" stopIfTrue="1">
      <formula>$P$29=""</formula>
    </cfRule>
  </conditionalFormatting>
  <conditionalFormatting sqref="D32:E32">
    <cfRule type="expression" dxfId="63" priority="109" stopIfTrue="1">
      <formula>$P$26=""</formula>
    </cfRule>
  </conditionalFormatting>
  <conditionalFormatting sqref="D32:E32">
    <cfRule type="expression" dxfId="62" priority="22" stopIfTrue="1">
      <formula>IF(AND(OR($D$26="Yes",$D$26=""),$D$32=""),1,0)</formula>
    </cfRule>
  </conditionalFormatting>
  <conditionalFormatting sqref="D38 D44 D50 D56 D62">
    <cfRule type="expression" dxfId="61" priority="18" stopIfTrue="1">
      <formula>$P$32=""</formula>
    </cfRule>
  </conditionalFormatting>
  <conditionalFormatting sqref="D39:E39 D45 D51 D57 D63">
    <cfRule type="expression" dxfId="60" priority="17" stopIfTrue="1">
      <formula>$P$33=""</formula>
    </cfRule>
  </conditionalFormatting>
  <conditionalFormatting sqref="D40 D46 D52 D58 D64">
    <cfRule type="expression" dxfId="59" priority="7" stopIfTrue="1">
      <formula>$P$34=""</formula>
    </cfRule>
    <cfRule type="expression" dxfId="58" priority="129" stopIfTrue="1">
      <formula>IF(AND(OR($D$28="Yes",$D$28=""),D40=""),1,0)</formula>
    </cfRule>
  </conditionalFormatting>
  <conditionalFormatting sqref="D41 D47 D53 D59 D65">
    <cfRule type="expression" dxfId="57" priority="15" stopIfTrue="1">
      <formula>$P$35=""</formula>
    </cfRule>
  </conditionalFormatting>
  <conditionalFormatting sqref="D38:E38 D44:E44 D50:E50 D56:E56 D62:E62">
    <cfRule type="expression" dxfId="56" priority="20" stopIfTrue="1">
      <formula>$P$26=""</formula>
    </cfRule>
    <cfRule type="expression" dxfId="55" priority="21" stopIfTrue="1">
      <formula>IF(AND(OR($D$26="Yes",$D$26=""),D38=""),1,0)</formula>
    </cfRule>
  </conditionalFormatting>
  <conditionalFormatting sqref="G79:J79">
    <cfRule type="expression" dxfId="54" priority="14" stopIfTrue="1">
      <formula>IF(AND($D$79="Yes, using other format (describe)",$G$79=""),TRUE)</formula>
    </cfRule>
  </conditionalFormatting>
  <conditionalFormatting sqref="D39:E39 D45:E45 D51:E51 D57:E57 D63:E63">
    <cfRule type="expression" dxfId="53" priority="127" stopIfTrue="1">
      <formula>$P$39=""</formula>
    </cfRule>
    <cfRule type="expression" dxfId="52" priority="128" stopIfTrue="1">
      <formula>IF(AND(OR($D$27="Yes",$D$27=""),D39=""),1,0)</formula>
    </cfRule>
  </conditionalFormatting>
  <conditionalFormatting sqref="D33:E33">
    <cfRule type="expression" dxfId="51" priority="9" stopIfTrue="1">
      <formula>IF(AND(OR($D$27="Yes",$D$27=""),$D$33=""),1,0)</formula>
    </cfRule>
    <cfRule type="expression" dxfId="50" priority="10" stopIfTrue="1">
      <formula>$P$27=""</formula>
    </cfRule>
  </conditionalFormatting>
  <conditionalFormatting sqref="D34:E34">
    <cfRule type="expression" dxfId="49" priority="130" stopIfTrue="1">
      <formula>IF(AND(OR($D$28="Yes",$D$28=""),$D$34=""),1,0)</formula>
    </cfRule>
  </conditionalFormatting>
  <conditionalFormatting sqref="D41:E41 D47:E47 D53:E53 D59:E59 D65:E65">
    <cfRule type="expression" dxfId="48" priority="132" stopIfTrue="1">
      <formula>IF(AND(OR($D$29="Yes",$D$29=""),D41=""),1,0)</formula>
    </cfRule>
  </conditionalFormatting>
  <conditionalFormatting sqref="D35:E35">
    <cfRule type="expression" dxfId="47" priority="6" stopIfTrue="1">
      <formula>IF(AND(OR($D$29="Yes",$D$29=""),$D$35=""),1,0)</formula>
    </cfRule>
  </conditionalFormatting>
  <conditionalFormatting sqref="D20:J20">
    <cfRule type="expression" dxfId="46" priority="2" stopIfTrue="1">
      <formula>IF($D$20="",TRUE)</formula>
    </cfRule>
  </conditionalFormatting>
  <conditionalFormatting sqref="D21:J21">
    <cfRule type="expression" dxfId="45" priority="3" stopIfTrue="1">
      <formula>IF($D$21="",TRUE)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CCBC08AC-9F27-4542-8691-FEF093F94AAB}"/>
    <hyperlink ref="D20" r:id="rId4" xr:uid="{75C3D167-BCCF-49A0-8752-94E2A84F986C}"/>
    <hyperlink ref="G71" r:id="rId5" xr:uid="{FD042850-3F6B-444B-9F3C-0DC587B72C3E}"/>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70" zoomScaleNormal="70" zoomScalePageLayoutView="55" workbookViewId="0">
      <selection activeCell="Q19" sqref="Q19"/>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9" t="str">
        <f ca="1">OFFSET(L!$C$1,MATCH("Smelter List"&amp;ADDRESS(ROW(),COLUMN(),4),L!$A:$A,0)-1,SL,,)</f>
        <v>Link to "RMAP Conformant Smelter List"</v>
      </c>
      <c r="K2" s="440"/>
      <c r="L2" s="440"/>
      <c r="M2" s="440"/>
      <c r="N2" s="440"/>
      <c r="O2" s="440"/>
      <c r="P2" s="232"/>
      <c r="Q2" s="233"/>
      <c r="R2" s="234"/>
      <c r="S2" s="234"/>
      <c r="T2" s="234"/>
      <c r="U2" s="261"/>
      <c r="V2" s="261"/>
      <c r="W2" s="262"/>
      <c r="X2" s="261"/>
      <c r="Y2" s="261"/>
      <c r="Z2" s="261"/>
      <c r="AH2" s="178" t="s">
        <v>558</v>
      </c>
    </row>
    <row r="3" spans="1:34" s="263" customFormat="1" ht="255.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4"/>
      <c r="G3" s="442" t="str">
        <f ca="1">OFFSET(L!$C$1,MATCH("General"&amp;"Cpy",L!$A:$A,0)-1,SL,,)</f>
        <v>© 2019 Responsible Minerals Initiative. All rights reserved.</v>
      </c>
      <c r="H3" s="442"/>
      <c r="I3" s="443"/>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899999999999999" customHeight="1">
      <c r="A5" s="215"/>
      <c r="B5" s="216" t="s">
        <v>1253</v>
      </c>
      <c r="C5" s="220" t="s">
        <v>1548</v>
      </c>
      <c r="D5" s="216"/>
      <c r="E5" s="216" t="str">
        <f ca="1">IF(ISERROR($V5),"",OFFSET('Smelter Look-up'!$D$4,$V5-4,0)&amp;"")</f>
        <v>CHINA</v>
      </c>
      <c r="F5" s="216" t="str">
        <f ca="1">IF(ISERROR($V5),"",OFFSET('Smelter Look-up'!$E$4,$V5-4,0))</f>
        <v>CID002513</v>
      </c>
      <c r="G5" s="216" t="str">
        <f ca="1">IF(C5=$X$4,"Enter smelter details", IF(ISERROR($V5),"",OFFSET('Smelter Look-up'!$F$4,$V5-4,0)))</f>
        <v>RMI</v>
      </c>
      <c r="H5" s="217">
        <f ca="1">IF(ISERROR($V5),"",OFFSET('Smelter Look-up'!$G$4,$V5-4,0))</f>
        <v>0</v>
      </c>
      <c r="I5" s="218" t="str">
        <f ca="1">IF(ISERROR($V5),"",OFFSET('Smelter Look-up'!$H$4,$V5-4,0))</f>
        <v>Chenzhou</v>
      </c>
      <c r="J5" s="218" t="str">
        <f ca="1">IF(ISERROR($V5),"",OFFSET('Smelter Look-up'!$I$4,$V5-4,0))</f>
        <v>Hunan Sheng</v>
      </c>
      <c r="K5" s="267"/>
      <c r="L5" s="267"/>
      <c r="M5" s="267"/>
      <c r="N5" s="267"/>
      <c r="O5" s="267"/>
      <c r="P5" s="219"/>
      <c r="Q5" s="268"/>
      <c r="R5" s="216" t="str">
        <f ca="1">IF(ISERROR($V5),"",OFFSET('Smelter Look-up'!$C$4,$V5-4,0)&amp;"")</f>
        <v>Chenzhou Diamond Tungsten Products Co., Ltd.</v>
      </c>
      <c r="S5" s="224" t="str">
        <f t="shared" ref="S5:S68" ca="1" si="0">IF(B5="","",IF(ISERROR(MATCH($E5,CL,0)),"Unknown",INDIRECT("'C'!$A$"&amp;MATCH($E5,CL,0)+1)))</f>
        <v>CN</v>
      </c>
      <c r="T5" s="224" t="str">
        <f ca="1">IF(B5="","",IF(ISERROR(MATCH($J5,SorP!$B$1:$B$6230,0)),"",INDIRECT("'SorP'!$A$"&amp;MATCH($J5,SorP!$B$1:$B$6230,0))))</f>
        <v>CN-HN</v>
      </c>
      <c r="U5" s="239"/>
      <c r="V5" s="269">
        <f>IF(C5="",NA(),MATCH($B5&amp;$C5,'Smelter Look-up'!$J:$J,0))</f>
        <v>525</v>
      </c>
      <c r="W5" s="270"/>
      <c r="X5" s="270">
        <f t="shared" ref="X5:X68" ca="1" si="1">IF(AND(C5="Smelter not listed",OR(LEN(D5)=0,LEN(E5)=0)),1,0)</f>
        <v>0</v>
      </c>
      <c r="Y5" s="270"/>
      <c r="Z5" s="270"/>
      <c r="AB5" s="272" t="str">
        <f t="shared" ref="AB5:AB68" si="2">B5&amp;C5</f>
        <v>TungstenChenzhou Diamond Tungsten Products Co., Ltd.</v>
      </c>
    </row>
    <row r="6" spans="1:34" s="271" customFormat="1" ht="34.15" customHeight="1">
      <c r="A6" s="215"/>
      <c r="B6" s="216" t="s">
        <v>1253</v>
      </c>
      <c r="C6" s="220" t="s">
        <v>1511</v>
      </c>
      <c r="D6" s="216"/>
      <c r="E6" s="216" t="str">
        <f ca="1">IF(ISERROR($V6),"",OFFSET('Smelter Look-up'!$D$4,$V6-4,0)&amp;"")</f>
        <v>CHINA</v>
      </c>
      <c r="F6" s="216" t="str">
        <f ca="1">IF(ISERROR($V6),"",OFFSET('Smelter Look-up'!$E$4,$V6-4,0))</f>
        <v>CID000258</v>
      </c>
      <c r="G6" s="216" t="str">
        <f ca="1">IF(C6=$X$4,"Enter smelter details", IF(ISERROR($V6),"",OFFSET('Smelter Look-up'!$F$4,$V6-4,0)))</f>
        <v>RMI</v>
      </c>
      <c r="H6" s="217">
        <f ca="1">IF(ISERROR($V6),"",OFFSET('Smelter Look-up'!$G$4,$V6-4,0))</f>
        <v>0</v>
      </c>
      <c r="I6" s="218" t="str">
        <f ca="1">IF(ISERROR($V6),"",OFFSET('Smelter Look-up'!$H$4,$V6-4,0))</f>
        <v>Ganzhou</v>
      </c>
      <c r="J6" s="218" t="str">
        <f ca="1">IF(ISERROR($V6),"",OFFSET('Smelter Look-up'!$I$4,$V6-4,0))</f>
        <v>Jiangxi Sheng</v>
      </c>
      <c r="K6" s="267" t="s">
        <v>15505</v>
      </c>
      <c r="L6" s="347" t="s">
        <v>15506</v>
      </c>
      <c r="M6" s="267"/>
      <c r="N6" s="267" t="s">
        <v>15507</v>
      </c>
      <c r="O6" s="267" t="s">
        <v>15508</v>
      </c>
      <c r="P6" s="219" t="s">
        <v>559</v>
      </c>
      <c r="Q6" s="268"/>
      <c r="R6" s="216" t="str">
        <f ca="1">IF(ISERROR($V6),"",OFFSET('Smelter Look-up'!$C$4,$V6-4,0)&amp;"")</f>
        <v>Chongyi Zhangyuan Tungsten Co., Ltd.</v>
      </c>
      <c r="S6" s="224" t="str">
        <f t="shared" ca="1" si="0"/>
        <v>CN</v>
      </c>
      <c r="T6" s="224" t="str">
        <f ca="1">IF(B6="","",IF(ISERROR(MATCH($J6,SorP!$B$1:$B$6230,0)),"",INDIRECT("'SorP'!$A$"&amp;MATCH($J6,SorP!$B$1:$B$6230,0))))</f>
        <v>CN-JX</v>
      </c>
      <c r="U6" s="239"/>
      <c r="V6" s="269">
        <f>IF(C6="",NA(),MATCH($B6&amp;$C6,'Smelter Look-up'!$J:$J,0))</f>
        <v>529</v>
      </c>
      <c r="W6" s="270"/>
      <c r="X6" s="270">
        <f t="shared" ca="1" si="1"/>
        <v>0</v>
      </c>
      <c r="Y6" s="270"/>
      <c r="Z6" s="270"/>
      <c r="AB6" s="272" t="str">
        <f t="shared" si="2"/>
        <v>TungstenChongyi Zhangyuan Tungsten Co., Ltd.</v>
      </c>
    </row>
    <row r="7" spans="1:34" s="271" customFormat="1" ht="19.899999999999999" customHeight="1">
      <c r="A7" s="215"/>
      <c r="B7" s="216" t="s">
        <v>1253</v>
      </c>
      <c r="C7" s="220" t="s">
        <v>927</v>
      </c>
      <c r="D7" s="216"/>
      <c r="E7" s="216" t="str">
        <f ca="1">IF(ISERROR($V7),"",OFFSET('Smelter Look-up'!$D$4,$V7-4,0)&amp;"")</f>
        <v>CHINA</v>
      </c>
      <c r="F7" s="216" t="str">
        <f ca="1">IF(ISERROR($V7),"",OFFSET('Smelter Look-up'!$E$4,$V7-4,0))</f>
        <v>CID000499</v>
      </c>
      <c r="G7" s="216" t="str">
        <f ca="1">IF(C7=$X$4,"Enter smelter details", IF(ISERROR($V7),"",OFFSET('Smelter Look-up'!$F$4,$V7-4,0)))</f>
        <v>RMI</v>
      </c>
      <c r="H7" s="217">
        <f ca="1">IF(ISERROR($V7),"",OFFSET('Smelter Look-up'!$G$4,$V7-4,0))</f>
        <v>0</v>
      </c>
      <c r="I7" s="218" t="str">
        <f ca="1">IF(ISERROR($V7),"",OFFSET('Smelter Look-up'!$H$4,$V7-4,0))</f>
        <v>Yanshi</v>
      </c>
      <c r="J7" s="218" t="str">
        <f ca="1">IF(ISERROR($V7),"",OFFSET('Smelter Look-up'!$I$4,$V7-4,0))</f>
        <v>Fujian Sheng</v>
      </c>
      <c r="K7" s="267"/>
      <c r="L7" s="267"/>
      <c r="M7" s="267"/>
      <c r="N7" s="267"/>
      <c r="O7" s="267" t="s">
        <v>15508</v>
      </c>
      <c r="P7" s="219" t="s">
        <v>559</v>
      </c>
      <c r="Q7" s="268"/>
      <c r="R7" s="216" t="str">
        <f ca="1">IF(ISERROR($V7),"",OFFSET('Smelter Look-up'!$C$4,$V7-4,0)&amp;"")</f>
        <v>Fujian Jinxin Tungsten Co., Ltd.</v>
      </c>
      <c r="S7" s="224" t="str">
        <f t="shared" ca="1" si="0"/>
        <v>CN</v>
      </c>
      <c r="T7" s="224" t="str">
        <f ca="1">IF(B7="","",IF(ISERROR(MATCH($J7,SorP!$B$1:$B$6230,0)),"",INDIRECT("'SorP'!$A$"&amp;MATCH($J7,SorP!$B$1:$B$6230,0))))</f>
        <v>CN-FJ</v>
      </c>
      <c r="U7" s="239"/>
      <c r="V7" s="269">
        <f>IF(C7="",NA(),MATCH($B7&amp;$C7,'Smelter Look-up'!$J:$J,0))</f>
        <v>532</v>
      </c>
      <c r="W7" s="270"/>
      <c r="X7" s="270">
        <f t="shared" ca="1" si="1"/>
        <v>0</v>
      </c>
      <c r="Y7" s="270"/>
      <c r="Z7" s="270"/>
      <c r="AB7" s="272" t="str">
        <f t="shared" si="2"/>
        <v>TungstenFujian Jinxin Tungsten Co., Ltd.</v>
      </c>
    </row>
    <row r="8" spans="1:34" s="271" customFormat="1" ht="19.899999999999999" customHeight="1">
      <c r="A8" s="215"/>
      <c r="B8" s="216" t="s">
        <v>1253</v>
      </c>
      <c r="C8" s="220" t="s">
        <v>159</v>
      </c>
      <c r="D8" s="216"/>
      <c r="E8" s="216" t="str">
        <f ca="1">IF(ISERROR($V8),"",OFFSET('Smelter Look-up'!$D$4,$V8-4,0)&amp;"")</f>
        <v>CHINA</v>
      </c>
      <c r="F8" s="216" t="str">
        <f ca="1">IF(ISERROR($V8),"",OFFSET('Smelter Look-up'!$E$4,$V8-4,0))</f>
        <v>CID000875</v>
      </c>
      <c r="G8" s="216" t="str">
        <f ca="1">IF(C8=$X$4,"Enter smelter details", IF(ISERROR($V8),"",OFFSET('Smelter Look-up'!$F$4,$V8-4,0)))</f>
        <v>RMI</v>
      </c>
      <c r="H8" s="217">
        <f ca="1">IF(ISERROR($V8),"",OFFSET('Smelter Look-up'!$G$4,$V8-4,0))</f>
        <v>0</v>
      </c>
      <c r="I8" s="218" t="str">
        <f ca="1">IF(ISERROR($V8),"",OFFSET('Smelter Look-up'!$H$4,$V8-4,0))</f>
        <v>Ganzhou</v>
      </c>
      <c r="J8" s="218" t="str">
        <f ca="1">IF(ISERROR($V8),"",OFFSET('Smelter Look-up'!$I$4,$V8-4,0))</f>
        <v>Jiangxi Sheng</v>
      </c>
      <c r="K8" s="267"/>
      <c r="L8" s="267"/>
      <c r="M8" s="267"/>
      <c r="N8" s="267"/>
      <c r="O8" s="267"/>
      <c r="P8" s="219"/>
      <c r="Q8" s="268"/>
      <c r="R8" s="216" t="str">
        <f ca="1">IF(ISERROR($V8),"",OFFSET('Smelter Look-up'!$C$4,$V8-4,0)&amp;"")</f>
        <v>Ganzhou Huaxing Tungsten Products Co., Ltd.</v>
      </c>
      <c r="S8" s="224" t="str">
        <f t="shared" ca="1" si="0"/>
        <v>CN</v>
      </c>
      <c r="T8" s="224" t="str">
        <f ca="1">IF(B8="","",IF(ISERROR(MATCH($J8,SorP!$B$1:$B$6230,0)),"",INDIRECT("'SorP'!$A$"&amp;MATCH($J8,SorP!$B$1:$B$6230,0))))</f>
        <v>CN-JX</v>
      </c>
      <c r="U8" s="239"/>
      <c r="V8" s="269">
        <f>IF(C8="",NA(),MATCH($B8&amp;$C8,'Smelter Look-up'!$J:$J,0))</f>
        <v>534</v>
      </c>
      <c r="W8" s="270"/>
      <c r="X8" s="270">
        <f t="shared" ca="1" si="1"/>
        <v>0</v>
      </c>
      <c r="Y8" s="270"/>
      <c r="Z8" s="270"/>
      <c r="AB8" s="272" t="str">
        <f t="shared" si="2"/>
        <v>TungstenGanzhou Huaxing Tungsten Products Co., Ltd.</v>
      </c>
    </row>
    <row r="9" spans="1:34" s="271" customFormat="1" ht="19.899999999999999" customHeight="1">
      <c r="A9" s="215"/>
      <c r="B9" s="216" t="s">
        <v>1253</v>
      </c>
      <c r="C9" s="220" t="s">
        <v>1</v>
      </c>
      <c r="D9" s="216"/>
      <c r="E9" s="216" t="str">
        <f ca="1">IF(ISERROR($V9),"",OFFSET('Smelter Look-up'!$D$4,$V9-4,0)&amp;"")</f>
        <v>UNITED STATES OF AMERICA</v>
      </c>
      <c r="F9" s="216" t="str">
        <f ca="1">IF(ISERROR($V9),"",OFFSET('Smelter Look-up'!$E$4,$V9-4,0))</f>
        <v>CID000568</v>
      </c>
      <c r="G9" s="216" t="str">
        <f ca="1">IF(C9=$X$4,"Enter smelter details", IF(ISERROR($V9),"",OFFSET('Smelter Look-up'!$F$4,$V9-4,0)))</f>
        <v>RMI</v>
      </c>
      <c r="H9" s="217">
        <f ca="1">IF(ISERROR($V9),"",OFFSET('Smelter Look-up'!$G$4,$V9-4,0))</f>
        <v>0</v>
      </c>
      <c r="I9" s="218" t="str">
        <f ca="1">IF(ISERROR($V9),"",OFFSET('Smelter Look-up'!$H$4,$V9-4,0))</f>
        <v>Towanda</v>
      </c>
      <c r="J9" s="218" t="str">
        <f ca="1">IF(ISERROR($V9),"",OFFSET('Smelter Look-up'!$I$4,$V9-4,0))</f>
        <v>Pennsylvania</v>
      </c>
      <c r="K9" s="267" t="s">
        <v>15509</v>
      </c>
      <c r="L9" s="347" t="s">
        <v>15510</v>
      </c>
      <c r="M9" s="347"/>
      <c r="N9" s="347" t="s">
        <v>15511</v>
      </c>
      <c r="O9" s="267"/>
      <c r="P9" s="219" t="s">
        <v>559</v>
      </c>
      <c r="Q9" s="268"/>
      <c r="R9" s="216" t="str">
        <f ca="1">IF(ISERROR($V9),"",OFFSET('Smelter Look-up'!$C$4,$V9-4,0)&amp;"")</f>
        <v>Global Tungsten &amp; Powders Corp.</v>
      </c>
      <c r="S9" s="224" t="str">
        <f t="shared" ca="1" si="0"/>
        <v>US</v>
      </c>
      <c r="T9" s="224" t="str">
        <f ca="1">IF(B9="","",IF(ISERROR(MATCH($J9,SorP!$B$1:$B$6230,0)),"",INDIRECT("'SorP'!$A$"&amp;MATCH($J9,SorP!$B$1:$B$6230,0))))</f>
        <v>US-PA</v>
      </c>
      <c r="U9" s="239"/>
      <c r="V9" s="269">
        <f>IF(C9="",NA(),MATCH($B9&amp;$C9,'Smelter Look-up'!$J:$J,0))</f>
        <v>537</v>
      </c>
      <c r="W9" s="270"/>
      <c r="X9" s="270">
        <f t="shared" ca="1" si="1"/>
        <v>0</v>
      </c>
      <c r="Y9" s="270"/>
      <c r="Z9" s="270"/>
      <c r="AB9" s="272" t="str">
        <f t="shared" si="2"/>
        <v>TungstenGlobal Tungsten &amp; Powders Corp.</v>
      </c>
    </row>
    <row r="10" spans="1:34" s="271" customFormat="1" ht="19.899999999999999" customHeight="1">
      <c r="A10" s="215"/>
      <c r="B10" s="216" t="s">
        <v>1253</v>
      </c>
      <c r="C10" s="220" t="s">
        <v>2108</v>
      </c>
      <c r="D10" s="216"/>
      <c r="E10" s="216" t="str">
        <f ca="1">IF(ISERROR($V10),"",OFFSET('Smelter Look-up'!$D$4,$V10-4,0)&amp;"")</f>
        <v>RUSSIAN FEDERATION</v>
      </c>
      <c r="F10" s="216" t="str">
        <f ca="1">IF(ISERROR($V10),"",OFFSET('Smelter Look-up'!$E$4,$V10-4,0))</f>
        <v>CID002649</v>
      </c>
      <c r="G10" s="216" t="str">
        <f ca="1">IF(C10=$X$4,"Enter smelter details", IF(ISERROR($V10),"",OFFSET('Smelter Look-up'!$F$4,$V10-4,0)))</f>
        <v>RMI</v>
      </c>
      <c r="H10" s="217">
        <f ca="1">IF(ISERROR($V10),"",OFFSET('Smelter Look-up'!$G$4,$V10-4,0))</f>
        <v>0</v>
      </c>
      <c r="I10" s="218" t="str">
        <f ca="1">IF(ISERROR($V10),"",OFFSET('Smelter Look-up'!$H$4,$V10-4,0))</f>
        <v>Nalchik</v>
      </c>
      <c r="J10" s="218" t="str">
        <f ca="1">IF(ISERROR($V10),"",OFFSET('Smelter Look-up'!$I$4,$V10-4,0))</f>
        <v>Kabardino-Balkarskaya Respublika</v>
      </c>
      <c r="K10" s="267" t="s">
        <v>15512</v>
      </c>
      <c r="L10" s="267"/>
      <c r="M10" s="267"/>
      <c r="N10" s="267" t="s">
        <v>15513</v>
      </c>
      <c r="O10" s="267" t="s">
        <v>15514</v>
      </c>
      <c r="P10" s="219" t="s">
        <v>559</v>
      </c>
      <c r="Q10" s="268"/>
      <c r="R10" s="216" t="str">
        <f ca="1">IF(ISERROR($V10),"",OFFSET('Smelter Look-up'!$C$4,$V10-4,0)&amp;"")</f>
        <v>Hydrometallurg, JSC</v>
      </c>
      <c r="S10" s="224" t="str">
        <f t="shared" ca="1" si="0"/>
        <v>RU</v>
      </c>
      <c r="T10" s="224" t="str">
        <f ca="1">IF(B10="","",IF(ISERROR(MATCH($J10,SorP!$B$1:$B$6230,0)),"",INDIRECT("'SorP'!$A$"&amp;MATCH($J10,SorP!$B$1:$B$6230,0))))</f>
        <v>RU-KB</v>
      </c>
      <c r="U10" s="239"/>
      <c r="V10" s="269">
        <f>IF(C10="",NA(),MATCH($B10&amp;$C10,'Smelter Look-up'!$J:$J,0))</f>
        <v>549</v>
      </c>
      <c r="W10" s="270"/>
      <c r="X10" s="270">
        <f t="shared" ca="1" si="1"/>
        <v>0</v>
      </c>
      <c r="Y10" s="270"/>
      <c r="Z10" s="270"/>
      <c r="AB10" s="272" t="str">
        <f t="shared" si="2"/>
        <v>TungstenHydrometallurg, JSC</v>
      </c>
    </row>
    <row r="11" spans="1:34" s="271" customFormat="1" ht="19.899999999999999" customHeight="1">
      <c r="A11" s="215"/>
      <c r="B11" s="216" t="s">
        <v>1253</v>
      </c>
      <c r="C11" s="220" t="s">
        <v>167</v>
      </c>
      <c r="D11" s="216"/>
      <c r="E11" s="216" t="str">
        <f ca="1">IF(ISERROR($V11),"",OFFSET('Smelter Look-up'!$D$4,$V11-4,0)&amp;"")</f>
        <v>CHINA</v>
      </c>
      <c r="F11" s="216" t="str">
        <f ca="1">IF(ISERROR($V11),"",OFFSET('Smelter Look-up'!$E$4,$V11-4,0))</f>
        <v>CID002321</v>
      </c>
      <c r="G11" s="216" t="str">
        <f ca="1">IF(C11=$X$4,"Enter smelter details", IF(ISERROR($V11),"",OFFSET('Smelter Look-up'!$F$4,$V11-4,0)))</f>
        <v>RMI</v>
      </c>
      <c r="H11" s="217">
        <f ca="1">IF(ISERROR($V11),"",OFFSET('Smelter Look-up'!$G$4,$V11-4,0))</f>
        <v>0</v>
      </c>
      <c r="I11" s="218" t="str">
        <f ca="1">IF(ISERROR($V11),"",OFFSET('Smelter Look-up'!$H$4,$V11-4,0))</f>
        <v>Xiushui</v>
      </c>
      <c r="J11" s="218" t="str">
        <f ca="1">IF(ISERROR($V11),"",OFFSET('Smelter Look-up'!$I$4,$V11-4,0))</f>
        <v>Jiangxi Sheng</v>
      </c>
      <c r="K11" s="267"/>
      <c r="L11" s="267"/>
      <c r="M11" s="267"/>
      <c r="N11" s="267"/>
      <c r="O11" s="267"/>
      <c r="P11" s="219"/>
      <c r="Q11" s="268"/>
      <c r="R11" s="216" t="str">
        <f ca="1">IF(ISERROR($V11),"",OFFSET('Smelter Look-up'!$C$4,$V11-4,0)&amp;"")</f>
        <v>Jiangxi Gan Bei Tungsten Co., Ltd.</v>
      </c>
      <c r="S11" s="224" t="str">
        <f t="shared" ca="1" si="0"/>
        <v>CN</v>
      </c>
      <c r="T11" s="224" t="str">
        <f ca="1">IF(B11="","",IF(ISERROR(MATCH($J11,SorP!$B$1:$B$6230,0)),"",INDIRECT("'SorP'!$A$"&amp;MATCH($J11,SorP!$B$1:$B$6230,0))))</f>
        <v>CN-JX</v>
      </c>
      <c r="U11" s="239"/>
      <c r="V11" s="269">
        <f>IF(C11="",NA(),MATCH($B11&amp;$C11,'Smelter Look-up'!$J:$J,0))</f>
        <v>553</v>
      </c>
      <c r="W11" s="270"/>
      <c r="X11" s="270">
        <f t="shared" ca="1" si="1"/>
        <v>0</v>
      </c>
      <c r="Y11" s="270"/>
      <c r="Z11" s="270"/>
      <c r="AB11" s="272" t="str">
        <f t="shared" si="2"/>
        <v>TungstenJiangxi Gan Bei Tungsten Co., Ltd.</v>
      </c>
    </row>
    <row r="12" spans="1:34" s="271" customFormat="1" ht="114.75">
      <c r="A12" s="215"/>
      <c r="B12" s="216" t="s">
        <v>1253</v>
      </c>
      <c r="C12" s="220" t="s">
        <v>163</v>
      </c>
      <c r="D12" s="216"/>
      <c r="E12" s="216" t="str">
        <f ca="1">IF(ISERROR($V12),"",OFFSET('Smelter Look-up'!$D$4,$V12-4,0)&amp;"")</f>
        <v>CHINA</v>
      </c>
      <c r="F12" s="216" t="str">
        <f ca="1">IF(ISERROR($V12),"",OFFSET('Smelter Look-up'!$E$4,$V12-4,0))</f>
        <v>CID002317</v>
      </c>
      <c r="G12" s="216" t="str">
        <f ca="1">IF(C12=$X$4,"Enter smelter details", IF(ISERROR($V12),"",OFFSET('Smelter Look-up'!$F$4,$V12-4,0)))</f>
        <v>RMI</v>
      </c>
      <c r="H12" s="217">
        <f ca="1">IF(ISERROR($V12),"",OFFSET('Smelter Look-up'!$G$4,$V12-4,0))</f>
        <v>0</v>
      </c>
      <c r="I12" s="218" t="str">
        <f ca="1">IF(ISERROR($V12),"",OFFSET('Smelter Look-up'!$H$4,$V12-4,0))</f>
        <v>Ganzhou</v>
      </c>
      <c r="J12" s="218" t="str">
        <f ca="1">IF(ISERROR($V12),"",OFFSET('Smelter Look-up'!$I$4,$V12-4,0))</f>
        <v>Jiangxi Sheng</v>
      </c>
      <c r="K12" s="267"/>
      <c r="L12" s="267"/>
      <c r="M12" s="267"/>
      <c r="N12" s="267"/>
      <c r="O12" s="267"/>
      <c r="P12" s="219"/>
      <c r="Q12" s="268"/>
      <c r="R12" s="216" t="str">
        <f ca="1">IF(ISERROR($V12),"",OFFSET('Smelter Look-up'!$C$4,$V12-4,0)&amp;"")</f>
        <v>Jiangxi Xinsheng Tungsten Industry Co., Ltd.</v>
      </c>
      <c r="S12" s="224" t="str">
        <f t="shared" ca="1" si="0"/>
        <v>CN</v>
      </c>
      <c r="T12" s="224" t="str">
        <f ca="1">IF(B12="","",IF(ISERROR(MATCH($J12,SorP!$B$1:$B$6230,0)),"",INDIRECT("'SorP'!$A$"&amp;MATCH($J12,SorP!$B$1:$B$6230,0))))</f>
        <v>CN-JX</v>
      </c>
      <c r="U12" s="239"/>
      <c r="V12" s="269">
        <f>IF(C12="",NA(),MATCH($B12&amp;$C12,'Smelter Look-up'!$J:$J,0))</f>
        <v>558</v>
      </c>
      <c r="W12" s="270"/>
      <c r="X12" s="270">
        <f t="shared" ca="1" si="1"/>
        <v>0</v>
      </c>
      <c r="Y12" s="270"/>
      <c r="Z12" s="270"/>
      <c r="AB12" s="272" t="str">
        <f t="shared" si="2"/>
        <v>TungstenJiangxi Xinsheng Tungsten Industry Co., Ltd.</v>
      </c>
    </row>
    <row r="13" spans="1:34" s="271" customFormat="1" ht="89.25">
      <c r="A13" s="215"/>
      <c r="B13" s="216" t="s">
        <v>1253</v>
      </c>
      <c r="C13" s="220" t="s">
        <v>162</v>
      </c>
      <c r="D13" s="216"/>
      <c r="E13" s="216" t="str">
        <f ca="1">IF(ISERROR($V13),"",OFFSET('Smelter Look-up'!$D$4,$V13-4,0)&amp;"")</f>
        <v>CHINA</v>
      </c>
      <c r="F13" s="216" t="str">
        <f ca="1">IF(ISERROR($V13),"",OFFSET('Smelter Look-up'!$E$4,$V13-4,0))</f>
        <v>CID002316</v>
      </c>
      <c r="G13" s="216" t="str">
        <f ca="1">IF(C13=$X$4,"Enter smelter details", IF(ISERROR($V13),"",OFFSET('Smelter Look-up'!$F$4,$V13-4,0)))</f>
        <v>RMI</v>
      </c>
      <c r="H13" s="217">
        <f ca="1">IF(ISERROR($V13),"",OFFSET('Smelter Look-up'!$G$4,$V13-4,0))</f>
        <v>0</v>
      </c>
      <c r="I13" s="218" t="str">
        <f ca="1">IF(ISERROR($V13),"",OFFSET('Smelter Look-up'!$H$4,$V13-4,0))</f>
        <v>Ganzhou</v>
      </c>
      <c r="J13" s="218" t="str">
        <f ca="1">IF(ISERROR($V13),"",OFFSET('Smelter Look-up'!$I$4,$V13-4,0))</f>
        <v>Jiangxi Sheng</v>
      </c>
      <c r="K13" s="267"/>
      <c r="L13" s="267"/>
      <c r="M13" s="267"/>
      <c r="N13" s="267"/>
      <c r="O13" s="267"/>
      <c r="P13" s="219"/>
      <c r="Q13" s="268"/>
      <c r="R13" s="216" t="str">
        <f ca="1">IF(ISERROR($V13),"",OFFSET('Smelter Look-up'!$C$4,$V13-4,0)&amp;"")</f>
        <v>Jiangxi Yaosheng Tungsten Co., Ltd.</v>
      </c>
      <c r="S13" s="224" t="str">
        <f t="shared" ca="1" si="0"/>
        <v>CN</v>
      </c>
      <c r="T13" s="224" t="str">
        <f ca="1">IF(B13="","",IF(ISERROR(MATCH($J13,SorP!$B$1:$B$6230,0)),"",INDIRECT("'SorP'!$A$"&amp;MATCH($J13,SorP!$B$1:$B$6230,0))))</f>
        <v>CN-JX</v>
      </c>
      <c r="U13" s="239"/>
      <c r="V13" s="269">
        <f>IF(C13="",NA(),MATCH($B13&amp;$C13,'Smelter Look-up'!$J:$J,0))</f>
        <v>559</v>
      </c>
      <c r="W13" s="270"/>
      <c r="X13" s="270">
        <f t="shared" ca="1" si="1"/>
        <v>0</v>
      </c>
      <c r="Y13" s="270"/>
      <c r="Z13" s="270"/>
      <c r="AB13" s="272" t="str">
        <f t="shared" si="2"/>
        <v>TungstenJiangxi Yaosheng Tungsten Co., Ltd.</v>
      </c>
    </row>
    <row r="14" spans="1:34" s="271" customFormat="1" ht="31.15" customHeight="1">
      <c r="A14" s="215"/>
      <c r="B14" s="216" t="s">
        <v>1253</v>
      </c>
      <c r="C14" s="220" t="s">
        <v>158</v>
      </c>
      <c r="D14" s="216"/>
      <c r="E14" s="216" t="str">
        <f ca="1">IF(ISERROR($V14),"",OFFSET('Smelter Look-up'!$D$4,$V14-4,0)&amp;"")</f>
        <v>UNITED STATES OF AMERICA</v>
      </c>
      <c r="F14" s="216" t="str">
        <f ca="1">IF(ISERROR($V14),"",OFFSET('Smelter Look-up'!$E$4,$V14-4,0))</f>
        <v>CID000105</v>
      </c>
      <c r="G14" s="216" t="str">
        <f ca="1">IF(C14=$X$4,"Enter smelter details", IF(ISERROR($V14),"",OFFSET('Smelter Look-up'!$F$4,$V14-4,0)))</f>
        <v>RMI</v>
      </c>
      <c r="H14" s="217">
        <f ca="1">IF(ISERROR($V14),"",OFFSET('Smelter Look-up'!$G$4,$V14-4,0))</f>
        <v>0</v>
      </c>
      <c r="I14" s="218" t="str">
        <f ca="1">IF(ISERROR($V14),"",OFFSET('Smelter Look-up'!$H$4,$V14-4,0))</f>
        <v>Huntsville</v>
      </c>
      <c r="J14" s="218" t="str">
        <f ca="1">IF(ISERROR($V14),"",OFFSET('Smelter Look-up'!$I$4,$V14-4,0))</f>
        <v>Alabama</v>
      </c>
      <c r="K14" s="267"/>
      <c r="L14" s="267"/>
      <c r="M14" s="267"/>
      <c r="N14" s="267" t="s">
        <v>15515</v>
      </c>
      <c r="O14" s="267" t="s">
        <v>15515</v>
      </c>
      <c r="P14" s="219" t="s">
        <v>558</v>
      </c>
      <c r="Q14" s="268" t="s">
        <v>15516</v>
      </c>
      <c r="R14" s="216" t="str">
        <f ca="1">IF(ISERROR($V14),"",OFFSET('Smelter Look-up'!$C$4,$V14-4,0)&amp;"")</f>
        <v>Kennametal Huntsville</v>
      </c>
      <c r="S14" s="224" t="str">
        <f t="shared" ca="1" si="0"/>
        <v>US</v>
      </c>
      <c r="T14" s="224" t="str">
        <f ca="1">IF(B14="","",IF(ISERROR(MATCH($J14,SorP!$B$1:$B$6230,0)),"",INDIRECT("'SorP'!$A$"&amp;MATCH($J14,SorP!$B$1:$B$6230,0))))</f>
        <v>US-AL</v>
      </c>
      <c r="U14" s="239"/>
      <c r="V14" s="269">
        <f>IF(C14="",NA(),MATCH($B14&amp;$C14,'Smelter Look-up'!$J:$J,0))</f>
        <v>562</v>
      </c>
      <c r="W14" s="270"/>
      <c r="X14" s="270">
        <f t="shared" ca="1" si="1"/>
        <v>0</v>
      </c>
      <c r="Y14" s="270"/>
      <c r="Z14" s="270"/>
      <c r="AB14" s="272" t="str">
        <f t="shared" si="2"/>
        <v>TungstenKennametal Huntsville</v>
      </c>
    </row>
    <row r="15" spans="1:34" s="271" customFormat="1" ht="25.15" customHeight="1">
      <c r="A15" s="215"/>
      <c r="B15" s="216" t="s">
        <v>1253</v>
      </c>
      <c r="C15" s="220" t="s">
        <v>15451</v>
      </c>
      <c r="D15" s="216"/>
      <c r="E15" s="216" t="str">
        <f ca="1">IF(ISERROR($V15),"",OFFSET('Smelter Look-up'!$D$4,$V15-4,0)&amp;"")</f>
        <v>VIET NAM</v>
      </c>
      <c r="F15" s="216" t="str">
        <f ca="1">IF(ISERROR($V15),"",OFFSET('Smelter Look-up'!$E$4,$V15-4,0))</f>
        <v>CID002543</v>
      </c>
      <c r="G15" s="216" t="str">
        <f ca="1">IF(C15=$X$4,"Enter smelter details", IF(ISERROR($V15),"",OFFSET('Smelter Look-up'!$F$4,$V15-4,0)))</f>
        <v>RMI</v>
      </c>
      <c r="H15" s="217">
        <f ca="1">IF(ISERROR($V15),"",OFFSET('Smelter Look-up'!$G$4,$V15-4,0))</f>
        <v>0</v>
      </c>
      <c r="I15" s="218" t="str">
        <f ca="1">IF(ISERROR($V15),"",OFFSET('Smelter Look-up'!$H$4,$V15-4,0))</f>
        <v>Dai Tu</v>
      </c>
      <c r="J15" s="218" t="str">
        <f ca="1">IF(ISERROR($V15),"",OFFSET('Smelter Look-up'!$I$4,$V15-4,0))</f>
        <v>Thái Nguyên</v>
      </c>
      <c r="K15" s="267" t="s">
        <v>15517</v>
      </c>
      <c r="L15" s="267" t="s">
        <v>15518</v>
      </c>
      <c r="M15" s="267"/>
      <c r="N15" s="267" t="s">
        <v>15519</v>
      </c>
      <c r="O15" s="267" t="s">
        <v>15520</v>
      </c>
      <c r="P15" s="219" t="s">
        <v>559</v>
      </c>
      <c r="Q15" s="268"/>
      <c r="R15" s="216" t="str">
        <f ca="1">IF(ISERROR($V15),"",OFFSET('Smelter Look-up'!$C$4,$V15-4,0)&amp;"")</f>
        <v>Masan Tungsten Chemical LLC (MTC)</v>
      </c>
      <c r="S15" s="224" t="str">
        <f t="shared" ca="1" si="0"/>
        <v>VN</v>
      </c>
      <c r="T15" s="224" t="str">
        <f ca="1">IF(B15="","",IF(ISERROR(MATCH($J15,SorP!$B$1:$B$6230,0)),"",INDIRECT("'SorP'!$A$"&amp;MATCH($J15,SorP!$B$1:$B$6230,0))))</f>
        <v>VN-69</v>
      </c>
      <c r="U15" s="239"/>
      <c r="V15" s="269">
        <f>IF(C15="",NA(),MATCH($B15&amp;$C15,'Smelter Look-up'!$J:$J,0))</f>
        <v>566</v>
      </c>
      <c r="W15" s="270"/>
      <c r="X15" s="270">
        <f t="shared" ca="1" si="1"/>
        <v>0</v>
      </c>
      <c r="Y15" s="270"/>
      <c r="Z15" s="270"/>
      <c r="AB15" s="272" t="str">
        <f t="shared" si="2"/>
        <v>TungstenMasan Tungsten Chemical LLC (MTC)</v>
      </c>
    </row>
    <row r="16" spans="1:34" s="271" customFormat="1" ht="50.45" customHeight="1">
      <c r="A16" s="215"/>
      <c r="B16" s="216" t="s">
        <v>1253</v>
      </c>
      <c r="C16" s="220" t="s">
        <v>2105</v>
      </c>
      <c r="D16" s="216"/>
      <c r="E16" s="216" t="str">
        <f ca="1">IF(ISERROR($V16),"",OFFSET('Smelter Look-up'!$D$4,$V16-4,0)&amp;"")</f>
        <v>UNITED STATES OF AMERICA</v>
      </c>
      <c r="F16" s="216" t="str">
        <f ca="1">IF(ISERROR($V16),"",OFFSET('Smelter Look-up'!$E$4,$V16-4,0))</f>
        <v>CID002589</v>
      </c>
      <c r="G16" s="216" t="str">
        <f ca="1">IF(C16=$X$4,"Enter smelter details", IF(ISERROR($V16),"",OFFSET('Smelter Look-up'!$F$4,$V16-4,0)))</f>
        <v>RMI</v>
      </c>
      <c r="H16" s="217">
        <f ca="1">IF(ISERROR($V16),"",OFFSET('Smelter Look-up'!$G$4,$V16-4,0))</f>
        <v>0</v>
      </c>
      <c r="I16" s="218" t="str">
        <f ca="1">IF(ISERROR($V16),"",OFFSET('Smelter Look-up'!$H$4,$V16-4,0))</f>
        <v>Depew</v>
      </c>
      <c r="J16" s="218" t="str">
        <f ca="1">IF(ISERROR($V16),"",OFFSET('Smelter Look-up'!$I$4,$V16-4,0))</f>
        <v>New York</v>
      </c>
      <c r="K16" s="267" t="s">
        <v>15521</v>
      </c>
      <c r="L16" s="267" t="s">
        <v>15522</v>
      </c>
      <c r="M16" s="267"/>
      <c r="N16" s="267" t="s">
        <v>15523</v>
      </c>
      <c r="O16" s="267"/>
      <c r="P16" s="219"/>
      <c r="Q16" s="268"/>
      <c r="R16" s="216" t="str">
        <f ca="1">IF(ISERROR($V16),"",OFFSET('Smelter Look-up'!$C$4,$V16-4,0)&amp;"")</f>
        <v>Niagara Refining LLC</v>
      </c>
      <c r="S16" s="224" t="str">
        <f t="shared" ca="1" si="0"/>
        <v>US</v>
      </c>
      <c r="T16" s="224" t="str">
        <f ca="1">IF(B16="","",IF(ISERROR(MATCH($J16,SorP!$B$1:$B$6230,0)),"",INDIRECT("'SorP'!$A$"&amp;MATCH($J16,SorP!$B$1:$B$6230,0))))</f>
        <v>US-NY</v>
      </c>
      <c r="U16" s="239"/>
      <c r="V16" s="269">
        <f>IF(C16="",NA(),MATCH($B16&amp;$C16,'Smelter Look-up'!$J:$J,0))</f>
        <v>568</v>
      </c>
      <c r="W16" s="270"/>
      <c r="X16" s="270">
        <f t="shared" ca="1" si="1"/>
        <v>0</v>
      </c>
      <c r="Y16" s="270"/>
      <c r="Z16" s="270"/>
      <c r="AB16" s="272" t="str">
        <f t="shared" si="2"/>
        <v>TungstenNiagara Refining LLC</v>
      </c>
    </row>
    <row r="17" spans="1:28" s="271" customFormat="1" ht="32.450000000000003" customHeight="1">
      <c r="A17" s="215"/>
      <c r="B17" s="216" t="s">
        <v>1253</v>
      </c>
      <c r="C17" s="220" t="s">
        <v>3236</v>
      </c>
      <c r="D17" s="216"/>
      <c r="E17" s="216" t="str">
        <f ca="1">IF(ISERROR($V17),"",OFFSET('Smelter Look-up'!$D$4,$V17-4,0)&amp;"")</f>
        <v>AUSTRIA</v>
      </c>
      <c r="F17" s="216" t="str">
        <f ca="1">IF(ISERROR($V17),"",OFFSET('Smelter Look-up'!$E$4,$V17-4,0))</f>
        <v>CID002044</v>
      </c>
      <c r="G17" s="216" t="str">
        <f ca="1">IF(C17=$X$4,"Enter smelter details", IF(ISERROR($V17),"",OFFSET('Smelter Look-up'!$F$4,$V17-4,0)))</f>
        <v>RMI</v>
      </c>
      <c r="H17" s="217">
        <f ca="1">IF(ISERROR($V17),"",OFFSET('Smelter Look-up'!$G$4,$V17-4,0))</f>
        <v>0</v>
      </c>
      <c r="I17" s="218" t="str">
        <f ca="1">IF(ISERROR($V17),"",OFFSET('Smelter Look-up'!$H$4,$V17-4,0))</f>
        <v>St. Martin i-S</v>
      </c>
      <c r="J17" s="218" t="str">
        <f ca="1">IF(ISERROR($V17),"",OFFSET('Smelter Look-up'!$I$4,$V17-4,0))</f>
        <v>Steiermark</v>
      </c>
      <c r="K17" s="267"/>
      <c r="L17" s="267"/>
      <c r="M17" s="267"/>
      <c r="N17" s="267"/>
      <c r="O17" s="267"/>
      <c r="P17" s="219"/>
      <c r="Q17" s="268"/>
      <c r="R17" s="216" t="str">
        <f ca="1">IF(ISERROR($V17),"",OFFSET('Smelter Look-up'!$C$4,$V17-4,0)&amp;"")</f>
        <v>Wolfram Bergbau und Hutten AG</v>
      </c>
      <c r="S17" s="224" t="str">
        <f t="shared" ca="1" si="0"/>
        <v>AT</v>
      </c>
      <c r="T17" s="224" t="str">
        <f ca="1">IF(B17="","",IF(ISERROR(MATCH($J17,SorP!$B$1:$B$6230,0)),"",INDIRECT("'SorP'!$A$"&amp;MATCH($J17,SorP!$B$1:$B$6230,0))))</f>
        <v>AT-6</v>
      </c>
      <c r="U17" s="239"/>
      <c r="V17" s="269">
        <f>IF(C17="",NA(),MATCH($B17&amp;$C17,'Smelter Look-up'!$J:$J,0))</f>
        <v>577</v>
      </c>
      <c r="W17" s="270"/>
      <c r="X17" s="270">
        <f t="shared" ca="1" si="1"/>
        <v>0</v>
      </c>
      <c r="Y17" s="270"/>
      <c r="Z17" s="270"/>
      <c r="AB17" s="272" t="str">
        <f t="shared" si="2"/>
        <v>TungstenWolfram Bergbau und Hutten AG</v>
      </c>
    </row>
    <row r="18" spans="1:28" s="271" customFormat="1" ht="25.15" customHeight="1">
      <c r="A18" s="215"/>
      <c r="B18" s="216" t="s">
        <v>1253</v>
      </c>
      <c r="C18" s="220" t="s">
        <v>166</v>
      </c>
      <c r="D18" s="216"/>
      <c r="E18" s="216" t="str">
        <f ca="1">IF(ISERROR($V18),"",OFFSET('Smelter Look-up'!$D$4,$V18-4,0)&amp;"")</f>
        <v>CHINA</v>
      </c>
      <c r="F18" s="216" t="str">
        <f ca="1">IF(ISERROR($V18),"",OFFSET('Smelter Look-up'!$E$4,$V18-4,0))</f>
        <v>CID002320</v>
      </c>
      <c r="G18" s="216" t="str">
        <f ca="1">IF(C18=$X$4,"Enter smelter details", IF(ISERROR($V18),"",OFFSET('Smelter Look-up'!$F$4,$V18-4,0)))</f>
        <v>RMI</v>
      </c>
      <c r="H18" s="217">
        <f ca="1">IF(ISERROR($V18),"",OFFSET('Smelter Look-up'!$G$4,$V18-4,0))</f>
        <v>0</v>
      </c>
      <c r="I18" s="218" t="str">
        <f ca="1">IF(ISERROR($V18),"",OFFSET('Smelter Look-up'!$H$4,$V18-4,0))</f>
        <v>Xiamen</v>
      </c>
      <c r="J18" s="218" t="str">
        <f ca="1">IF(ISERROR($V18),"",OFFSET('Smelter Look-up'!$I$4,$V18-4,0))</f>
        <v>Fujian Sheng</v>
      </c>
      <c r="K18" s="267" t="s">
        <v>15524</v>
      </c>
      <c r="L18" s="267" t="s">
        <v>15525</v>
      </c>
      <c r="M18" s="267"/>
      <c r="N18" s="267" t="s">
        <v>15526</v>
      </c>
      <c r="O18" s="267" t="s">
        <v>15527</v>
      </c>
      <c r="P18" s="219" t="s">
        <v>559</v>
      </c>
      <c r="Q18" s="348" t="s">
        <v>15530</v>
      </c>
      <c r="R18" s="216" t="str">
        <f ca="1">IF(ISERROR($V18),"",OFFSET('Smelter Look-up'!$C$4,$V18-4,0)&amp;"")</f>
        <v>Xiamen Tungsten (H.C.) Co., Ltd.</v>
      </c>
      <c r="S18" s="224" t="str">
        <f t="shared" ca="1" si="0"/>
        <v>CN</v>
      </c>
      <c r="T18" s="224" t="str">
        <f ca="1">IF(B18="","",IF(ISERROR(MATCH($J18,SorP!$B$1:$B$6230,0)),"",INDIRECT("'SorP'!$A$"&amp;MATCH($J18,SorP!$B$1:$B$6230,0))))</f>
        <v>CN-FJ</v>
      </c>
      <c r="U18" s="239"/>
      <c r="V18" s="269">
        <f>IF(C18="",NA(),MATCH($B18&amp;$C18,'Smelter Look-up'!$J:$J,0))</f>
        <v>581</v>
      </c>
      <c r="W18" s="270"/>
      <c r="X18" s="270">
        <f t="shared" ca="1" si="1"/>
        <v>0</v>
      </c>
      <c r="Y18" s="270"/>
      <c r="Z18" s="270"/>
      <c r="AB18" s="272" t="str">
        <f t="shared" si="2"/>
        <v>TungstenXiamen Tungsten (H.C.) Co., Ltd.</v>
      </c>
    </row>
    <row r="19" spans="1:28" s="271" customFormat="1" ht="24" customHeight="1">
      <c r="A19" s="215"/>
      <c r="B19" s="216" t="s">
        <v>1253</v>
      </c>
      <c r="C19" s="220" t="s">
        <v>1515</v>
      </c>
      <c r="D19" s="216"/>
      <c r="E19" s="216" t="str">
        <f ca="1">IF(ISERROR($V19),"",OFFSET('Smelter Look-up'!$D$4,$V19-4,0)&amp;"")</f>
        <v>CHINA</v>
      </c>
      <c r="F19" s="216" t="str">
        <f ca="1">IF(ISERROR($V19),"",OFFSET('Smelter Look-up'!$E$4,$V19-4,0))</f>
        <v>CID002082</v>
      </c>
      <c r="G19" s="216" t="str">
        <f ca="1">IF(C19=$X$4,"Enter smelter details", IF(ISERROR($V19),"",OFFSET('Smelter Look-up'!$F$4,$V19-4,0)))</f>
        <v>RMI</v>
      </c>
      <c r="H19" s="217">
        <f ca="1">IF(ISERROR($V19),"",OFFSET('Smelter Look-up'!$G$4,$V19-4,0))</f>
        <v>0</v>
      </c>
      <c r="I19" s="218" t="str">
        <f ca="1">IF(ISERROR($V19),"",OFFSET('Smelter Look-up'!$H$4,$V19-4,0))</f>
        <v>Xiamen</v>
      </c>
      <c r="J19" s="218" t="str">
        <f ca="1">IF(ISERROR($V19),"",OFFSET('Smelter Look-up'!$I$4,$V19-4,0))</f>
        <v>Fujian Sheng</v>
      </c>
      <c r="K19" s="267"/>
      <c r="L19" s="267"/>
      <c r="M19" s="267"/>
      <c r="N19" s="267"/>
      <c r="O19" s="267"/>
      <c r="P19" s="219"/>
      <c r="Q19" s="348" t="s">
        <v>15529</v>
      </c>
      <c r="R19" s="216" t="str">
        <f ca="1">IF(ISERROR($V19),"",OFFSET('Smelter Look-up'!$C$4,$V19-4,0)&amp;"")</f>
        <v>Xiamen Tungsten Co., Ltd.</v>
      </c>
      <c r="S19" s="224" t="str">
        <f t="shared" ca="1" si="0"/>
        <v>CN</v>
      </c>
      <c r="T19" s="224" t="str">
        <f ca="1">IF(B19="","",IF(ISERROR(MATCH($J19,SorP!$B$1:$B$6230,0)),"",INDIRECT("'SorP'!$A$"&amp;MATCH($J19,SorP!$B$1:$B$6230,0))))</f>
        <v>CN-FJ</v>
      </c>
      <c r="U19" s="239"/>
      <c r="V19" s="269">
        <f>IF(C19="",NA(),MATCH($B19&amp;$C19,'Smelter Look-up'!$J:$J,0))</f>
        <v>582</v>
      </c>
      <c r="W19" s="270"/>
      <c r="X19" s="270">
        <f t="shared" ca="1" si="1"/>
        <v>0</v>
      </c>
      <c r="Y19" s="270"/>
      <c r="Z19" s="270"/>
      <c r="AB19" s="272" t="str">
        <f t="shared" si="2"/>
        <v>TungstenXiamen Tungsten Co., Ltd.</v>
      </c>
    </row>
    <row r="20" spans="1:28" s="271" customFormat="1" ht="33" customHeight="1">
      <c r="A20" s="215"/>
      <c r="B20" s="216" t="s">
        <v>1253</v>
      </c>
      <c r="C20" s="220" t="s">
        <v>929</v>
      </c>
      <c r="D20" s="216"/>
      <c r="E20" s="216" t="str">
        <f ca="1">IF(ISERROR($V20),"",OFFSET('Smelter Look-up'!$D$4,$V20-4,0)&amp;"")</f>
        <v>CHINA</v>
      </c>
      <c r="F20" s="216" t="str">
        <f ca="1">IF(ISERROR($V20),"",OFFSET('Smelter Look-up'!$E$4,$V20-4,0))</f>
        <v>CID002095</v>
      </c>
      <c r="G20" s="216" t="str">
        <f ca="1">IF(C20=$X$4,"Enter smelter details", IF(ISERROR($V20),"",OFFSET('Smelter Look-up'!$F$4,$V20-4,0)))</f>
        <v>RMI</v>
      </c>
      <c r="H20" s="217">
        <f ca="1">IF(ISERROR($V20),"",OFFSET('Smelter Look-up'!$G$4,$V20-4,0))</f>
        <v>0</v>
      </c>
      <c r="I20" s="218" t="str">
        <f ca="1">IF(ISERROR($V20),"",OFFSET('Smelter Look-up'!$H$4,$V20-4,0))</f>
        <v>Shaoguan</v>
      </c>
      <c r="J20" s="218" t="str">
        <f ca="1">IF(ISERROR($V20),"",OFFSET('Smelter Look-up'!$I$4,$V20-4,0))</f>
        <v>Guangdong Sheng</v>
      </c>
      <c r="K20" s="267"/>
      <c r="L20" s="267"/>
      <c r="M20" s="267"/>
      <c r="N20" s="350" t="s">
        <v>15507</v>
      </c>
      <c r="O20" s="267"/>
      <c r="P20" s="219"/>
      <c r="Q20" s="268"/>
      <c r="R20" s="216" t="str">
        <f ca="1">IF(ISERROR($V20),"",OFFSET('Smelter Look-up'!$C$4,$V20-4,0)&amp;"")</f>
        <v>Xinhai Rendan Shaoguan Tungsten Co., Ltd.</v>
      </c>
      <c r="S20" s="224" t="str">
        <f t="shared" ca="1" si="0"/>
        <v>CN</v>
      </c>
      <c r="T20" s="224" t="str">
        <f ca="1">IF(B20="","",IF(ISERROR(MATCH($J20,SorP!$B$1:$B$6230,0)),"",INDIRECT("'SorP'!$A$"&amp;MATCH($J20,SorP!$B$1:$B$6230,0))))</f>
        <v>CN-GD</v>
      </c>
      <c r="U20" s="239"/>
      <c r="V20" s="269">
        <f>IF(C20="",NA(),MATCH($B20&amp;$C20,'Smelter Look-up'!$J:$J,0))</f>
        <v>584</v>
      </c>
      <c r="W20" s="270"/>
      <c r="X20" s="270">
        <f t="shared" ca="1" si="1"/>
        <v>0</v>
      </c>
      <c r="Y20" s="270"/>
      <c r="Z20" s="270"/>
      <c r="AB20" s="272" t="str">
        <f t="shared" si="2"/>
        <v>TungstenXinhai Rendan Shaoguan Tungsten Co., Ltd.</v>
      </c>
    </row>
    <row r="21" spans="1:28" s="271" customFormat="1" ht="29.45" customHeight="1">
      <c r="A21" s="215"/>
      <c r="B21" s="216" t="s">
        <v>1253</v>
      </c>
      <c r="C21" s="220" t="s">
        <v>3231</v>
      </c>
      <c r="D21" s="216"/>
      <c r="E21" s="216" t="str">
        <f ca="1">IF(ISERROR($V21),"",OFFSET('Smelter Look-up'!$D$4,$V21-4,0)&amp;"")</f>
        <v>GERMANY</v>
      </c>
      <c r="F21" s="216" t="str">
        <f ca="1">IF(ISERROR($V21),"",OFFSET('Smelter Look-up'!$E$4,$V21-4,0))</f>
        <v>CID002541</v>
      </c>
      <c r="G21" s="216" t="str">
        <f ca="1">IF(C21=$X$4,"Enter smelter details", IF(ISERROR($V21),"",OFFSET('Smelter Look-up'!$F$4,$V21-4,0)))</f>
        <v>RMI</v>
      </c>
      <c r="H21" s="217">
        <f ca="1">IF(ISERROR($V21),"",OFFSET('Smelter Look-up'!$G$4,$V21-4,0))</f>
        <v>0</v>
      </c>
      <c r="I21" s="218" t="str">
        <f ca="1">IF(ISERROR($V21),"",OFFSET('Smelter Look-up'!$H$4,$V21-4,0))</f>
        <v>Goslar</v>
      </c>
      <c r="J21" s="218" t="str">
        <f ca="1">IF(ISERROR($V21),"",OFFSET('Smelter Look-up'!$I$4,$V21-4,0))</f>
        <v>Niedersachsen</v>
      </c>
      <c r="K21" s="267"/>
      <c r="L21" s="267"/>
      <c r="M21" s="267"/>
      <c r="N21" s="349" t="s">
        <v>15528</v>
      </c>
      <c r="O21" s="267"/>
      <c r="P21" s="219"/>
      <c r="Q21" s="268"/>
      <c r="R21" s="216" t="str">
        <f ca="1">IF(ISERROR($V21),"",OFFSET('Smelter Look-up'!$C$4,$V21-4,0)&amp;"")</f>
        <v>H.C. Starck Tungsten GmbH</v>
      </c>
      <c r="S21" s="224" t="str">
        <f t="shared" ca="1" si="0"/>
        <v>DE</v>
      </c>
      <c r="T21" s="224" t="str">
        <f ca="1">IF(B21="","",IF(ISERROR(MATCH($J21,SorP!$B$1:$B$6230,0)),"",INDIRECT("'SorP'!$A$"&amp;MATCH($J21,SorP!$B$1:$B$6230,0))))</f>
        <v>DE-NI</v>
      </c>
      <c r="U21" s="239"/>
      <c r="V21" s="269">
        <f>IF(C21="",NA(),MATCH($B21&amp;$C21,'Smelter Look-up'!$J:$J,0))</f>
        <v>541</v>
      </c>
      <c r="W21" s="270"/>
      <c r="X21" s="270">
        <f t="shared" ca="1" si="1"/>
        <v>0</v>
      </c>
      <c r="Y21" s="270"/>
      <c r="Z21" s="270"/>
      <c r="AB21" s="272" t="str">
        <f t="shared" si="2"/>
        <v>TungstenH.C. Starck Tungsten GmbH</v>
      </c>
    </row>
    <row r="22" spans="1:28" s="271" customFormat="1" ht="25.15" customHeight="1">
      <c r="A22" s="215"/>
      <c r="B22" s="216" t="s">
        <v>1253</v>
      </c>
      <c r="C22" s="220" t="s">
        <v>2961</v>
      </c>
      <c r="D22" s="216"/>
      <c r="E22" s="216" t="str">
        <f ca="1">IF(ISERROR($V22),"",OFFSET('Smelter Look-up'!$D$4,$V22-4,0)&amp;"")</f>
        <v>GERMANY</v>
      </c>
      <c r="F22" s="216" t="str">
        <f ca="1">IF(ISERROR($V22),"",OFFSET('Smelter Look-up'!$E$4,$V22-4,0))</f>
        <v>CID002542</v>
      </c>
      <c r="G22" s="216" t="str">
        <f ca="1">IF(C22=$X$4,"Enter smelter details", IF(ISERROR($V22),"",OFFSET('Smelter Look-up'!$F$4,$V22-4,0)))</f>
        <v>RMI</v>
      </c>
      <c r="H22" s="217">
        <f ca="1">IF(ISERROR($V22),"",OFFSET('Smelter Look-up'!$G$4,$V22-4,0))</f>
        <v>0</v>
      </c>
      <c r="I22" s="218" t="str">
        <f ca="1">IF(ISERROR($V22),"",OFFSET('Smelter Look-up'!$H$4,$V22-4,0))</f>
        <v>Laufenburg</v>
      </c>
      <c r="J22" s="218" t="str">
        <f ca="1">IF(ISERROR($V22),"",OFFSET('Smelter Look-up'!$I$4,$V22-4,0))</f>
        <v>Baden-Württemberg</v>
      </c>
      <c r="K22" s="267"/>
      <c r="L22" s="267"/>
      <c r="M22" s="267"/>
      <c r="N22" s="349" t="s">
        <v>15528</v>
      </c>
      <c r="O22" s="267"/>
      <c r="P22" s="219"/>
      <c r="Q22" s="268"/>
      <c r="R22" s="216" t="str">
        <f ca="1">IF(ISERROR($V22),"",OFFSET('Smelter Look-up'!$C$4,$V22-4,0)&amp;"")</f>
        <v>H.C. Starck Smelting GmbH &amp; Co. KG</v>
      </c>
      <c r="S22" s="224" t="str">
        <f t="shared" ca="1" si="0"/>
        <v>DE</v>
      </c>
      <c r="T22" s="224" t="str">
        <f ca="1">IF(B22="","",IF(ISERROR(MATCH($J22,SorP!$B$1:$B$6230,0)),"",INDIRECT("'SorP'!$A$"&amp;MATCH($J22,SorP!$B$1:$B$6230,0))))</f>
        <v>DE-BW</v>
      </c>
      <c r="U22" s="239"/>
      <c r="V22" s="269">
        <f>IF(C22="",NA(),MATCH($B22&amp;$C22,'Smelter Look-up'!$J:$J,0))</f>
        <v>540</v>
      </c>
      <c r="W22" s="270"/>
      <c r="X22" s="270">
        <f t="shared" ca="1" si="1"/>
        <v>0</v>
      </c>
      <c r="Y22" s="270"/>
      <c r="Z22" s="270"/>
      <c r="AB22" s="272" t="str">
        <f t="shared" si="2"/>
        <v>TungstenH.C. Starck Smelting GmbH &amp; Co. KG</v>
      </c>
    </row>
    <row r="23" spans="1:28" s="271" customFormat="1" ht="24.6" customHeight="1">
      <c r="A23" s="215"/>
      <c r="B23" s="216" t="s">
        <v>1253</v>
      </c>
      <c r="C23" s="220" t="s">
        <v>1576</v>
      </c>
      <c r="D23" s="216"/>
      <c r="E23" s="216" t="str">
        <f ca="1">IF(ISERROR($V23),"",OFFSET('Smelter Look-up'!$D$4,$V23-4,0)&amp;"")</f>
        <v>VIET NAM</v>
      </c>
      <c r="F23" s="216" t="str">
        <f ca="1">IF(ISERROR($V23),"",OFFSET('Smelter Look-up'!$E$4,$V23-4,0))</f>
        <v>CID002543</v>
      </c>
      <c r="G23" s="216" t="str">
        <f ca="1">IF(C23=$X$4,"Enter smelter details", IF(ISERROR($V23),"",OFFSET('Smelter Look-up'!$F$4,$V23-4,0)))</f>
        <v>RMI</v>
      </c>
      <c r="H23" s="217">
        <f ca="1">IF(ISERROR($V23),"",OFFSET('Smelter Look-up'!$G$4,$V23-4,0))</f>
        <v>0</v>
      </c>
      <c r="I23" s="218" t="str">
        <f ca="1">IF(ISERROR($V23),"",OFFSET('Smelter Look-up'!$H$4,$V23-4,0))</f>
        <v>Dai Tu</v>
      </c>
      <c r="J23" s="218" t="str">
        <f ca="1">IF(ISERROR($V23),"",OFFSET('Smelter Look-up'!$I$4,$V23-4,0))</f>
        <v>Thái Nguyên</v>
      </c>
      <c r="K23" s="267"/>
      <c r="L23" s="267"/>
      <c r="M23" s="267"/>
      <c r="N23" s="267" t="s">
        <v>15519</v>
      </c>
      <c r="O23" s="267" t="s">
        <v>15520</v>
      </c>
      <c r="P23" s="219" t="s">
        <v>559</v>
      </c>
      <c r="Q23" s="268"/>
      <c r="R23" s="216" t="str">
        <f ca="1">IF(ISERROR($V23),"",OFFSET('Smelter Look-up'!$C$4,$V23-4,0)&amp;"")</f>
        <v>Masan Tungsten Chemical LLC (MTC)</v>
      </c>
      <c r="S23" s="224" t="str">
        <f t="shared" ca="1" si="0"/>
        <v>VN</v>
      </c>
      <c r="T23" s="224" t="str">
        <f ca="1">IF(B23="","",IF(ISERROR(MATCH($J23,SorP!$B$1:$B$6230,0)),"",INDIRECT("'SorP'!$A$"&amp;MATCH($J23,SorP!$B$1:$B$6230,0))))</f>
        <v>VN-69</v>
      </c>
      <c r="U23" s="239"/>
      <c r="V23" s="269">
        <f>IF(C23="",NA(),MATCH($B23&amp;$C23,'Smelter Look-up'!$J:$J,0))</f>
        <v>569</v>
      </c>
      <c r="W23" s="270"/>
      <c r="X23" s="270">
        <f t="shared" ca="1" si="1"/>
        <v>0</v>
      </c>
      <c r="Y23" s="270"/>
      <c r="Z23" s="270"/>
      <c r="AB23" s="272" t="str">
        <f t="shared" si="2"/>
        <v>TungstenNui Phao H.C. Starck Tungsten Chemicals Manufacturing LLC</v>
      </c>
    </row>
    <row r="24" spans="1:28" s="271" customFormat="1" ht="114.75">
      <c r="A24" s="215"/>
      <c r="B24" s="216" t="s">
        <v>1253</v>
      </c>
      <c r="C24" s="220" t="s">
        <v>1573</v>
      </c>
      <c r="D24" s="216"/>
      <c r="E24" s="216" t="str">
        <f ca="1">IF(ISERROR($V24),"",OFFSET('Smelter Look-up'!$D$4,$V24-4,0)&amp;"")</f>
        <v>CHINA</v>
      </c>
      <c r="F24" s="216" t="str">
        <f ca="1">IF(ISERROR($V24),"",OFFSET('Smelter Look-up'!$E$4,$V24-4,0))</f>
        <v>CID002551</v>
      </c>
      <c r="G24" s="216" t="str">
        <f ca="1">IF(C24=$X$4,"Enter smelter details", IF(ISERROR($V24),"",OFFSET('Smelter Look-up'!$F$4,$V24-4,0)))</f>
        <v>RMI</v>
      </c>
      <c r="H24" s="217">
        <f ca="1">IF(ISERROR($V24),"",OFFSET('Smelter Look-up'!$G$4,$V24-4,0))</f>
        <v>0</v>
      </c>
      <c r="I24" s="218" t="str">
        <f ca="1">IF(ISERROR($V24),"",OFFSET('Smelter Look-up'!$H$4,$V24-4,0))</f>
        <v>Ganzhou</v>
      </c>
      <c r="J24" s="218" t="str">
        <f ca="1">IF(ISERROR($V24),"",OFFSET('Smelter Look-up'!$I$4,$V24-4,0))</f>
        <v>Jiangxi Sheng</v>
      </c>
      <c r="K24" s="267"/>
      <c r="L24" s="267"/>
      <c r="M24" s="267"/>
      <c r="N24" s="267"/>
      <c r="O24" s="267"/>
      <c r="P24" s="219"/>
      <c r="Q24" s="268"/>
      <c r="R24" s="216" t="str">
        <f ca="1">IF(ISERROR($V24),"",OFFSET('Smelter Look-up'!$C$4,$V24-4,0)&amp;"")</f>
        <v>Jiangwu H.C. Starck Tungsten Products Co., Ltd.</v>
      </c>
      <c r="S24" s="224" t="str">
        <f t="shared" ca="1" si="0"/>
        <v>CN</v>
      </c>
      <c r="T24" s="224" t="str">
        <f ca="1">IF(B24="","",IF(ISERROR(MATCH($J24,SorP!$B$1:$B$6230,0)),"",INDIRECT("'SorP'!$A$"&amp;MATCH($J24,SorP!$B$1:$B$6230,0))))</f>
        <v>CN-JX</v>
      </c>
      <c r="U24" s="239"/>
      <c r="V24" s="269">
        <f>IF(C24="",NA(),MATCH($B24&amp;$C24,'Smelter Look-up'!$J:$J,0))</f>
        <v>551</v>
      </c>
      <c r="W24" s="270"/>
      <c r="X24" s="270">
        <f t="shared" ca="1" si="1"/>
        <v>0</v>
      </c>
      <c r="Y24" s="270"/>
      <c r="Z24" s="270"/>
      <c r="AB24" s="272" t="str">
        <f t="shared" si="2"/>
        <v>TungstenJiangwu H.C. Starck Tungsten Products Co., Ltd.</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ELMET TECHNOLOGIES LLC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t="str">
        <f>Declaration!D10</f>
        <v>COMPANY WIDE</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RAY PAGE</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RPAGE@ELMETTECH.COM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207-333-6259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RAY PAGE</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RPAGE@ELMETTECH.COM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207-333-6259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43620</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 xml:space="preserve">Tin  </v>
      </c>
      <c r="B16" s="105" t="str">
        <f>Declaration!D27</f>
        <v>No</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 xml:space="preserve">Gold  </v>
      </c>
      <c r="B17" s="105" t="str">
        <f>Declaration!D28</f>
        <v>No</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 xml:space="preserve">Tin  </v>
      </c>
      <c r="B21" s="105">
        <f>IF($B$16="Yes",Declaration!D33,0)</f>
        <v>0</v>
      </c>
      <c r="C21" s="105" t="str">
        <f t="shared" ca="1" si="3"/>
        <v>Complete</v>
      </c>
      <c r="D21" s="113" t="str">
        <f>IF(H21=1,"Click here to answer question 2 for Tin","")</f>
        <v/>
      </c>
      <c r="E21" s="87" t="s">
        <v>918</v>
      </c>
      <c r="F21" s="110">
        <f>IF(B$16="No",0,1)</f>
        <v>0</v>
      </c>
      <c r="G21" s="84">
        <f t="shared" si="4"/>
        <v>1</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 xml:space="preserve">Gold  </v>
      </c>
      <c r="B22" s="105">
        <f>IF($B$17="Yes",Declaration!D34,0)</f>
        <v>0</v>
      </c>
      <c r="C22" s="105" t="str">
        <f t="shared" ca="1" si="3"/>
        <v>Complete</v>
      </c>
      <c r="D22" s="113" t="str">
        <f>IF(H22=1,"Click here to answer question 2 for Gold","")</f>
        <v/>
      </c>
      <c r="E22" s="87" t="s">
        <v>918</v>
      </c>
      <c r="F22" s="110">
        <f>IF(B$17="No",0,1)</f>
        <v>0</v>
      </c>
      <c r="G22" s="84">
        <f t="shared" si="4"/>
        <v>1</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 xml:space="preserve">Tin  </v>
      </c>
      <c r="B26" s="105">
        <f>IF(AND($B$16="Yes",$B$21="Yes"),Declaration!D39,0)</f>
        <v>0</v>
      </c>
      <c r="C26" s="105" t="str">
        <f t="shared" ca="1" si="3"/>
        <v>Complete</v>
      </c>
      <c r="D26" s="113" t="str">
        <f>IF(H26=1,"Click here to answer question 3 for Tin","")</f>
        <v/>
      </c>
      <c r="E26" s="87" t="s">
        <v>918</v>
      </c>
      <c r="F26" s="110">
        <f>IF(OR(B16="No",B21="No"),0,1)</f>
        <v>0</v>
      </c>
      <c r="G26" s="84">
        <f t="shared" si="5"/>
        <v>1</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 xml:space="preserve">Gold  </v>
      </c>
      <c r="B27" s="105">
        <f>IF(AND($B$17="Yes",$B$22="Yes"),Declaration!D40,0)</f>
        <v>0</v>
      </c>
      <c r="C27" s="105" t="str">
        <f t="shared" ca="1" si="3"/>
        <v>Complete</v>
      </c>
      <c r="D27" s="113" t="str">
        <f>IF(H27=1,"Click here to answer question 3 for Gold","")</f>
        <v/>
      </c>
      <c r="E27" s="87" t="s">
        <v>918</v>
      </c>
      <c r="F27" s="110">
        <f>IF(OR(B17="No",B22="No"),0,1)</f>
        <v>0</v>
      </c>
      <c r="G27" s="84">
        <f t="shared" si="5"/>
        <v>1</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 xml:space="preserve">Tin  </v>
      </c>
      <c r="B31" s="105">
        <f>IF(AND($B$16="Yes",$B$21="Yes"),Declaration!D45,0)</f>
        <v>0</v>
      </c>
      <c r="C31" s="105" t="str">
        <f ca="1">IF(H31=1,J31,I31)</f>
        <v>Complete</v>
      </c>
      <c r="D31" s="113" t="str">
        <f>IF(H31=1,"Click here to answer question 4 for Tin","")</f>
        <v/>
      </c>
      <c r="E31" s="87" t="s">
        <v>1437</v>
      </c>
      <c r="F31" s="110">
        <f>F26</f>
        <v>0</v>
      </c>
      <c r="G31" s="84">
        <f>IF(B31=0,1,0)</f>
        <v>1</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 xml:space="preserve">Gold  </v>
      </c>
      <c r="B32" s="105">
        <f>IF(AND($B$17="Yes",$B$22="Yes"),Declaration!D46,0)</f>
        <v>0</v>
      </c>
      <c r="C32" s="105" t="str">
        <f ca="1">IF(H32=1,J32,I32)</f>
        <v>Complete</v>
      </c>
      <c r="D32" s="113" t="str">
        <f>IF(H32=1,"Click here to answer question 4 for Gold","")</f>
        <v/>
      </c>
      <c r="E32" s="87" t="s">
        <v>1437</v>
      </c>
      <c r="F32" s="110">
        <f>F27</f>
        <v>0</v>
      </c>
      <c r="G32" s="84">
        <f>IF(B32=0,1,0)</f>
        <v>1</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 xml:space="preserve">Tin  </v>
      </c>
      <c r="B36" s="105">
        <f>IF(AND($B$16="Yes",$B$21="Yes"),Declaration!D51,0)</f>
        <v>0</v>
      </c>
      <c r="C36" s="105" t="str">
        <f ca="1">IF(H36=1,J36,I36)</f>
        <v>Complete</v>
      </c>
      <c r="D36" s="111" t="str">
        <f>IF(H36=1,"Click here to answer question 5 for Tin","")</f>
        <v/>
      </c>
      <c r="E36" s="87" t="s">
        <v>917</v>
      </c>
      <c r="F36" s="110">
        <f>F26</f>
        <v>0</v>
      </c>
      <c r="G36" s="84">
        <f t="shared" si="5"/>
        <v>1</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 xml:space="preserve">Gold  </v>
      </c>
      <c r="B37" s="105">
        <f>IF(AND($B$17="Yes",$B$22="Yes"),Declaration!D52,0)</f>
        <v>0</v>
      </c>
      <c r="C37" s="105" t="str">
        <f t="shared" ca="1" si="3"/>
        <v>Complete</v>
      </c>
      <c r="D37" s="111" t="str">
        <f>IF(H37=1,"Click here to answer question 5 for Gold","")</f>
        <v/>
      </c>
      <c r="E37" s="87" t="s">
        <v>917</v>
      </c>
      <c r="F37" s="110">
        <f>F27</f>
        <v>0</v>
      </c>
      <c r="G37" s="84">
        <f t="shared" si="5"/>
        <v>1</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 xml:space="preserve">Tin  </v>
      </c>
      <c r="B41" s="105">
        <f>IF(AND($B$16="Yes",$B$21="Yes"),Declaration!D57,0)</f>
        <v>0</v>
      </c>
      <c r="C41" s="105" t="str">
        <f t="shared" ca="1" si="3"/>
        <v>Complete</v>
      </c>
      <c r="D41" s="113" t="str">
        <f>IF(H41=1,"Click here to answer question 6 for Tin","")</f>
        <v/>
      </c>
      <c r="E41" s="87" t="s">
        <v>1433</v>
      </c>
      <c r="F41" s="110">
        <f>F26</f>
        <v>0</v>
      </c>
      <c r="G41" s="84">
        <f t="shared" si="5"/>
        <v>1</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 xml:space="preserve">Gold  </v>
      </c>
      <c r="B42" s="105">
        <f>IF(AND($B$17="Yes",$B$22="Yes"),Declaration!D58,0)</f>
        <v>0</v>
      </c>
      <c r="C42" s="105" t="str">
        <f t="shared" ca="1" si="3"/>
        <v>Complete</v>
      </c>
      <c r="D42" s="113" t="str">
        <f>IF(H42=1,"Click here to answer question 6 for Gold","")</f>
        <v/>
      </c>
      <c r="E42" s="87" t="s">
        <v>1433</v>
      </c>
      <c r="F42" s="110">
        <f>F27</f>
        <v>0</v>
      </c>
      <c r="G42" s="84">
        <f t="shared" si="5"/>
        <v>1</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 xml:space="preserve">Tin  </v>
      </c>
      <c r="B46" s="105">
        <f>IF(AND($B$16="Yes",$B$21="Yes"),Declaration!D63,0)</f>
        <v>0</v>
      </c>
      <c r="C46" s="105" t="str">
        <f t="shared" ca="1" si="3"/>
        <v>Complete</v>
      </c>
      <c r="D46" s="114" t="str">
        <f>IF(H46=1,"Click here to answer question 7 for Tin","")</f>
        <v/>
      </c>
      <c r="E46" s="87" t="s">
        <v>918</v>
      </c>
      <c r="F46" s="110">
        <f>F26</f>
        <v>0</v>
      </c>
      <c r="G46" s="84">
        <f t="shared" si="5"/>
        <v>1</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 xml:space="preserve">Gold  </v>
      </c>
      <c r="B47" s="105">
        <f>IF(AND($B$17="Yes",$B$22="Yes"),Declaration!D64,0)</f>
        <v>0</v>
      </c>
      <c r="C47" s="105" t="str">
        <f t="shared" ca="1" si="3"/>
        <v>Complete</v>
      </c>
      <c r="D47" s="114" t="str">
        <f>IF(H47=1,"Click here to answer question 7 for Gold","")</f>
        <v/>
      </c>
      <c r="E47" s="87" t="s">
        <v>918</v>
      </c>
      <c r="F47" s="110">
        <f>F27</f>
        <v>0</v>
      </c>
      <c r="G47" s="84">
        <f t="shared" si="5"/>
        <v>1</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http://www.elmettechnologies.com/wp-content/uploads/2017/03/ELMET-2017-Conflict-Minerals-Disclosure_2017-03.pdf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90" zoomScaleNormal="9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9"/>
    </row>
    <row r="2" spans="1:6">
      <c r="A2" s="29"/>
      <c r="B2" s="151"/>
      <c r="C2" s="151"/>
      <c r="D2"/>
      <c r="E2" s="30"/>
    </row>
    <row r="3" spans="1:6">
      <c r="A3" s="29"/>
      <c r="B3" s="151"/>
      <c r="C3" s="151"/>
      <c r="D3" s="151"/>
      <c r="E3" s="30"/>
    </row>
    <row r="4" spans="1:6" ht="15.75" customHeight="1">
      <c r="A4" s="29"/>
      <c r="B4" s="445" t="s">
        <v>1014</v>
      </c>
      <c r="C4" s="445"/>
      <c r="D4" s="445"/>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8" t="str">
        <f ca="1">OFFSET(L!$C$1,MATCH("General"&amp;"Cpy",L!$A:$A,0)-1,SL,,)</f>
        <v>© 2019 Responsible Minerals Initiative. All rights reserved.</v>
      </c>
      <c r="C1001" s="448"/>
      <c r="D1001" s="448"/>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4"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John L. Johnson</cp:lastModifiedBy>
  <cp:lastPrinted>2015-04-21T20:47:43Z</cp:lastPrinted>
  <dcterms:created xsi:type="dcterms:W3CDTF">2010-06-21T21:00:23Z</dcterms:created>
  <dcterms:modified xsi:type="dcterms:W3CDTF">2019-06-12T19:39:11Z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