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G:\Elmet Specifications\CERT MASTERS\Regulatory &amp; Compliance &amp; ISO-AS\Regulatory &amp; Compliance &amp; ISO-AS - Excel &amp; Word Documents\"/>
    </mc:Choice>
  </mc:AlternateContent>
  <xr:revisionPtr revIDLastSave="0" documentId="13_ncr:1_{1130EF87-F745-4DAF-9B83-C4E9F34A7C1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5" i="5"/>
  <c r="V5" i="5"/>
  <c r="E5" i="5"/>
  <c r="P3" i="4"/>
  <c r="C4" i="5"/>
  <c r="C6" i="5"/>
  <c r="C7" i="5"/>
  <c r="C8" i="5"/>
  <c r="F69" i="6"/>
  <c r="D4" i="5"/>
  <c r="E4" i="5"/>
  <c r="B6" i="5"/>
  <c r="V6" i="5"/>
  <c r="E6" i="5"/>
  <c r="B7" i="5"/>
  <c r="V7" i="5"/>
  <c r="E7" i="5"/>
  <c r="B8" i="5"/>
  <c r="V8"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<sst xmlns="http://schemas.openxmlformats.org/spreadsheetml/2006/main" count="22151" uniqueCount="15668">
  <si>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</si>
  <si>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</si>
  <si>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</si>
  <si>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</si>
  <si>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</si>
  <si>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</si>
  <si>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</si>
  <si>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</si>
  <si>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</si>
  <si>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</si>
  <si>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</si>
  <si>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</si>
  <si>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</si>
  <si>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</si>
  <si>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</si>
  <si>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</si>
  <si>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</si>
  <si>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</si>
  <si>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</si>
  <si>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</si>
  <si>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</si>
  <si>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</si>
  <si>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</si>
  <si>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</si>
  <si>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</si>
  <si>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</si>
  <si>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</si>
  <si>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</si>
  <si>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</si>
  <si>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</si>
  <si>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</si>
  <si>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</si>
  <si>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</si>
  <si>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</si>
  <si>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</si>
  <si>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</si>
  <si>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</si>
  <si>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</si>
  <si>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</si>
  <si>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</si>
  <si>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</si>
  <si>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</si>
  <si>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</si>
  <si>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</si>
  <si>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</si>
  <si>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</si>
  <si>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</si>
  <si>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</si>
  <si>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</si>
  <si>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</si>
  <si>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</si>
  <si>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</si>
  <si>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</si>
  <si>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</si>
  <si>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</si>
  <si>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</si>
  <si>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</si>
  <si>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</si>
  <si>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</si>
  <si>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</si>
  <si>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</si>
  <si>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</si>
  <si>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</si>
  <si>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</si>
  <si>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</si>
  <si>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</si>
  <si>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</si>
  <si>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</si>
  <si>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</si>
  <si>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</si>
  <si>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</si>
  <si>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</si>
  <si>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</si>
  <si>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</si>
  <si>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</si>
  <si>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</si>
  <si>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</si>
  <si>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</si>
  <si>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</si>
  <si>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</si>
  <si>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</si>
  <si>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</si>
  <si>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</si>
  <si>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</si>
  <si>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</si>
  <si>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</si>
  <si>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</si>
  <si>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</si>
  <si>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</si>
  <si>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</si>
  <si>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</si>
  <si>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</si>
  <si>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</si>
  <si>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</si>
  <si>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</si>
  <si>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</si>
  <si>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</si>
  <si>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</si>
  <si>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</si>
  <si>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</si>
  <si>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</si>
  <si>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</si>
  <si>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</si>
  <si>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</si>
  <si>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</si>
  <si>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</si>
  <si>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</si>
  <si>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</si>
  <si>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</si>
  <si>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</si>
  <si>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</si>
  <si>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</si>
  <si>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</si>
  <si>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</si>
  <si>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</si>
  <si>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</si>
  <si>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</si>
  <si>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</si>
  <si>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</si>
  <si>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</si>
  <si>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</si>
  <si>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</si>
  <si>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</si>
  <si>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</si>
  <si>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</si>
  <si>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</si>
  <si>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</si>
  <si>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</si>
  <si>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</si>
  <si>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</si>
  <si>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</si>
  <si>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</si>
  <si>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</si>
  <si>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</si>
  <si>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</si>
  <si>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</si>
  <si>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</si>
  <si>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</si>
  <si>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</si>
  <si>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</si>
  <si>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</si>
  <si>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</si>
  <si>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</si>
  <si>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</si>
  <si>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</si>
  <si>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</si>
  <si>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</si>
  <si>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</si>
  <si>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</si>
  <si>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</si>
  <si>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</si>
  <si>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</si>
  <si>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</si>
  <si>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</si>
  <si>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</si>
  <si>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</si>
  <si>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</si>
  <si>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</si>
  <si>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</si>
  <si>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</si>
  <si>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</si>
  <si>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</si>
  <si>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</si>
  <si>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</si>
  <si>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</si>
  <si>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</si>
  <si>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</si>
  <si>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</si>
  <si>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</si>
  <si>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</si>
  <si>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</si>
  <si>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</si>
  <si>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</si>
  <si>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</si>
  <si>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</si>
  <si>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</si>
  <si>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</si>
  <si>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</si>
  <si>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</si>
  <si>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</si>
  <si>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</si>
  <si>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</si>
  <si>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</si>
  <si>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</si>
  <si>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</si>
  <si>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</si>
  <si>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</si>
  <si>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</si>
  <si>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</si>
  <si>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</si>
  <si>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</si>
  <si>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</si>
  <si>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</si>
  <si>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</si>
  <si>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</si>
  <si>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</si>
  <si>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</si>
  <si>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</si>
  <si>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</si>
  <si>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</si>
  <si>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</si>
  <si>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</si>
  <si>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</si>
  <si>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</si>
  <si>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</si>
  <si>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</si>
  <si>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</si>
  <si>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</si>
  <si>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</si>
  <si>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</si>
  <si>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</si>
  <si>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</si>
  <si>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</si>
  <si>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</si>
  <si>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</si>
  <si>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</si>
  <si>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</si>
  <si>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</si>
  <si>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</si>
  <si>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</si>
  <si>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</si>
  <si>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</si>
  <si>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</si>
  <si>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</si>
  <si>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</si>
  <si>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</si>
  <si>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</si>
  <si>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</si>
  <si>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</si>
  <si>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</si>
  <si>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</si>
  <si>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</si>
  <si>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</si>
  <si>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</si>
  <si>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</si>
  <si>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</si>
  <si>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</si>
  <si>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</si>
  <si>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</si>
  <si>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</si>
  <si>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</si>
  <si>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</si>
  <si>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</si>
  <si>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</si>
  <si>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</si>
  <si>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</si>
  <si>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</si>
  <si>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</si>
  <si>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</si>
  <si>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</si>
  <si>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</si>
  <si>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</si>
  <si>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</si>
  <si>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</si>
  <si>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</si>
  <si>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</si>
  <si>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</si>
  <si>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</si>
  <si>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</si>
  <si>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</si>
  <si>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</si>
  <si>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</si>
  <si>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</si>
  <si>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</si>
  <si>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</si>
  <si>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</si>
  <si>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</si>
  <si>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</si>
  <si>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</si>
  <si>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</si>
  <si>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</si>
  <si>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</si>
  <si>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</si>
  <si>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</si>
  <si>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</si>
  <si>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</si>
  <si>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</si>
  <si>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</si>
  <si>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</si>
  <si>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</si>
  <si>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</si>
  <si>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</si>
  <si>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</si>
  <si>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</si>
  <si>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</si>
  <si>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</si>
  <si>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</si>
  <si>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</si>
  <si>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</si>
  <si>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</si>
  <si>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</si>
  <si>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</si>
  <si>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</si>
  <si>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</si>
  <si>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</si>
  <si>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</si>
  <si>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</si>
  <si>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</si>
  <si>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</si>
  <si>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</si>
  <si>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</si>
  <si>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</si>
  <si>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</si>
  <si>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</si>
  <si>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</si>
  <si>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</si>
  <si>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</si>
  <si>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</si>
  <si>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</si>
  <si>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</si>
  <si>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</si>
  <si>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</si>
  <si>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</si>
  <si>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</si>
  <si>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</si>
  <si>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</si>
  <si>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</si>
  <si>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</si>
  <si>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</si>
  <si>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</si>
  <si>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</si>
  <si>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</si>
  <si>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</si>
  <si>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</si>
  <si>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</si>
  <si>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</si>
  <si>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</si>
  <si>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</si>
  <si>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</si>
  <si>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</si>
  <si>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</si>
  <si>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</si>
  <si>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</si>
  <si>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</si>
  <si>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</si>
  <si>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</si>
  <si>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</si>
  <si>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</si>
  <si>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</si>
  <si>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</si>
  <si>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</si>
  <si>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</si>
  <si>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</si>
  <si>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</si>
  <si>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</si>
  <si>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</si>
  <si>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</si>
  <si>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</si>
  <si>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</si>
  <si>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</si>
  <si>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</si>
  <si>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</si>
  <si>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</si>
  <si>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</si>
  <si>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</si>
  <si>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</si>
  <si>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</si>
  <si>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</si>
  <si>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</si>
  <si>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</si>
  <si>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</si>
  <si>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</si>
  <si>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</si>
  <si>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</si>
  <si>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</si>
  <si>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</si>
  <si>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</si>
  <si>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</si>
  <si>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</si>
  <si>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</si>
  <si>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</si>
  <si>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</si>
  <si>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</si>
  <si>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</si>
  <si>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</si>
  <si>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</si>
  <si>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</si>
  <si>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</si>
  <si>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</si>
  <si>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</si>
  <si>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</si>
  <si>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</si>
  <si>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</si>
  <si>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</si>
  <si>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</si>
  <si>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</si>
  <si>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</si>
  <si>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</si>
  <si>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</si>
  <si>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</si>
  <si>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</si>
  <si>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</si>
  <si>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</si>
  <si>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</si>
  <si>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</si>
  <si>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</si>
  <si>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</si>
  <si>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</si>
  <si>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</si>
  <si>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</si>
  <si>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</si>
  <si>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</si>
  <si>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</si>
  <si>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</si>
  <si>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</si>
  <si>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</si>
  <si>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</si>
  <si>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</si>
  <si>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</si>
  <si>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</si>
  <si>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</si>
  <si>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</si>
  <si>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</si>
  <si>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</si>
  <si>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</si>
  <si>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</si>
  <si>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</si>
  <si>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</si>
  <si>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</si>
  <si>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</si>
  <si>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</si>
  <si>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</si>
  <si>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</si>
  <si>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</si>
  <si>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</si>
  <si>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</si>
  <si>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</si>
  <si>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</si>
  <si>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</si>
  <si>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</si>
  <si>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</si>
  <si>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</si>
  <si>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</si>
  <si>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</si>
  <si>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</si>
  <si>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</si>
  <si>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</si>
  <si>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</si>
  <si>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</si>
  <si>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</si>
  <si>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</si>
  <si>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</si>
  <si>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</si>
  <si>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</si>
  <si>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</si>
  <si>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</si>
  <si>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</si>
  <si>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</si>
  <si>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</si>
  <si>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</si>
  <si>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</si>
  <si>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</si>
  <si>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</si>
  <si>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</si>
  <si>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</si>
  <si>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</si>
  <si>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</si>
  <si>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</si>
  <si>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</si>
  <si>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</si>
  <si>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</si>
  <si>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</si>
  <si>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</si>
  <si>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</si>
  <si>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</si>
  <si>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</si>
  <si>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</si>
  <si>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</si>
  <si>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</si>
  <si>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</si>
  <si>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</si>
  <si>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</si>
  <si>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</si>
  <si>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</si>
  <si>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</si>
  <si>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</si>
  <si>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</si>
  <si>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</si>
  <si>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</si>
  <si>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</si>
  <si>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</si>
  <si>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</si>
  <si>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</si>
  <si>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</si>
  <si>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</si>
  <si>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</si>
  <si>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</si>
  <si>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</si>
  <si>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</si>
  <si>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</si>
  <si>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</si>
  <si>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</si>
  <si>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</si>
  <si>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</si>
  <si>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</si>
  <si>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</si>
  <si>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</si>
  <si>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</si>
  <si>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</si>
  <si>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</si>
  <si>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</si>
  <si>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</si>
  <si>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</si>
  <si>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</si>
  <si>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</si>
  <si>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</si>
  <si>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</si>
  <si>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</si>
  <si>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</si>
  <si>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</si>
  <si>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</si>
  <si>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</si>
  <si>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</si>
  <si>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</si>
  <si>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</si>
  <si>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</si>
  <si>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</si>
  <si>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</si>
  <si>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</si>
  <si>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</si>
  <si>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</si>
  <si>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</si>
  <si>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</si>
  <si>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</si>
  <si>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</si>
  <si>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</si>
  <si>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</si>
  <si>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</si>
  <si>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</si>
  <si>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</si>
  <si>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</si>
  <si>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</si>
  <si>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</si>
  <si>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</si>
  <si>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</si>
  <si>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</si>
  <si>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</si>
  <si>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</si>
  <si>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</si>
  <si>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</si>
  <si>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</si>
  <si>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</si>
  <si>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</si>
  <si>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</si>
  <si>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</si>
  <si>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</si>
  <si>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</si>
  <si>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</si>
  <si>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</si>
  <si>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</si>
  <si>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</si>
  <si>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</si>
  <si>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</si>
  <si>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</si>
  <si>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</si>
  <si>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</si>
  <si>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</si>
  <si>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</si>
  <si>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</si>
  <si>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</si>
  <si>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</si>
  <si>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</si>
  <si>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</si>
  <si>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</si>
  <si>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</si>
  <si>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</si>
  <si>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</si>
  <si>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</si>
  <si>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</si>
  <si>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</si>
  <si>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</si>
  <si>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</si>
  <si>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</si>
  <si>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</si>
  <si>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</si>
  <si>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</si>
  <si>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</si>
  <si>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</si>
  <si>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</si>
  <si>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</si>
  <si>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</si>
  <si>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</si>
  <si>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</si>
  <si>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</si>
  <si>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</si>
  <si>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</si>
  <si>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</si>
  <si>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</si>
  <si>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</si>
  <si>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</si>
  <si>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</si>
  <si>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</si>
  <si>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</si>
  <si>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</si>
  <si>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</si>
  <si>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</si>
  <si>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</si>
  <si>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</si>
  <si>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</si>
  <si>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</si>
  <si>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</si>
  <si>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</si>
  <si>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</si>
  <si>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</si>
  <si>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</si>
  <si>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</si>
  <si>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</si>
  <si>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</si>
  <si>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</si>
  <si>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</si>
  <si>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</si>
  <si>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</si>
  <si>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</si>
  <si>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</si>
  <si>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</si>
  <si>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</si>
  <si>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</si>
  <si>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</si>
  <si>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</si>
  <si>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</si>
  <si>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</si>
  <si>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</si>
  <si>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</si>
  <si>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</si>
  <si>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</si>
  <si>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</si>
  <si>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</si>
  <si>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</si>
  <si>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</si>
  <si>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</si>
  <si>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</si>
  <si>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</si>
  <si>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</si>
  <si>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</si>
  <si>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</si>
  <si>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</si>
  <si>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</si>
  <si>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</si>
  <si>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</si>
  <si>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</si>
  <si>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</si>
  <si>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</si>
  <si>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</si>
  <si>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</si>
  <si>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</si>
  <si>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</si>
  <si>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</si>
  <si>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</si>
  <si>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</si>
  <si>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</si>
  <si>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</si>
  <si>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</si>
  <si>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</si>
  <si>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</si>
  <si>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</si>
  <si>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</si>
  <si>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</si>
  <si>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</si>
  <si>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</si>
  <si>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</si>
  <si>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</si>
  <si>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</si>
  <si>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</si>
  <si>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</si>
  <si>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</si>
  <si>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</si>
  <si>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</si>
  <si>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</si>
  <si>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</si>
  <si>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</si>
  <si>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</si>
  <si>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</si>
  <si>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</si>
  <si>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</si>
  <si>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</si>
  <si>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</si>
  <si>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</si>
  <si>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</si>
  <si>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</si>
  <si>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</si>
  <si>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</si>
  <si>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</si>
  <si>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</si>
  <si>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</si>
  <si>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</si>
  <si>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</si>
  <si>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</si>
  <si>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</si>
  <si>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</si>
  <si>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</si>
  <si>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</si>
  <si>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</si>
  <si>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</si>
  <si>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</si>
  <si>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</si>
  <si>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</si>
  <si>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</si>
  <si>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</si>
  <si>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</si>
  <si>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</si>
  <si>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</si>
  <si>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</si>
  <si>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</si>
  <si>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</si>
  <si>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</si>
  <si>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</si>
  <si>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</si>
  <si>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</si>
  <si>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</si>
  <si>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</si>
  <si>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</si>
  <si>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</si>
  <si>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</si>
  <si>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</si>
  <si>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</si>
  <si>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</si>
  <si>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</si>
  <si>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</si>
  <si>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</si>
  <si>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</si>
  <si>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</si>
  <si>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</si>
  <si>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</si>
  <si>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</si>
  <si>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</si>
  <si>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</si>
  <si>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</si>
  <si>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</si>
  <si>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</si>
  <si>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</si>
  <si>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</si>
  <si>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</si>
  <si>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</si>
  <si>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</si>
  <si>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</si>
  <si>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</si>
  <si>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</si>
  <si>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</si>
  <si>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</si>
  <si>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</si>
  <si>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</si>
  <si>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</si>
  <si>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</si>
  <si>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</si>
  <si>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</si>
  <si>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</si>
  <si>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</si>
  <si>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</si>
  <si>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</si>
  <si>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</si>
  <si>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</si>
  <si>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</si>
  <si>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</si>
  <si>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</si>
  <si>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</si>
  <si>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</si>
  <si>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</si>
  <si>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</si>
  <si>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</si>
  <si>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</si>
  <si>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</si>
  <si>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</si>
  <si>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</si>
  <si>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</si>
  <si>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</si>
  <si>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</si>
  <si>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</si>
  <si>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</si>
  <si>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</si>
  <si>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</si>
  <si>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</si>
  <si>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</si>
  <si>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</si>
  <si>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</si>
  <si>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</si>
  <si>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</si>
  <si>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</si>
  <si>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</si>
  <si>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</si>
  <si>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</si>
  <si>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</si>
  <si>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</si>
  <si>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</si>
  <si>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</si>
  <si>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</si>
  <si>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</si>
  <si>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</si>
  <si>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</si>
  <si>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</si>
  <si>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</si>
  <si>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</si>
  <si>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</si>
  <si>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</si>
  <si>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</si>
  <si>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</si>
  <si>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</si>
  <si>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</si>
  <si>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</si>
  <si>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</si>
  <si>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</si>
  <si>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</si>
  <si>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</si>
  <si>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</si>
  <si>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</si>
  <si>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</si>
  <si>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</si>
  <si>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</si>
  <si>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</si>
  <si>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</si>
  <si>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</si>
  <si>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</si>
  <si>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</si>
  <si>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</si>
  <si>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</si>
  <si>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</si>
  <si>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</si>
  <si>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</si>
  <si>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</si>
  <si>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</si>
  <si>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</si>
  <si>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</si>
  <si>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</si>
  <si>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</si>
  <si>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</si>
  <si>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</si>
  <si>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</si>
  <si>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</si>
  <si>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</si>
  <si>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</si>
  <si>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</si>
  <si>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</si>
  <si>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</si>
  <si>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</si>
  <si>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</si>
  <si>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</si>
  <si>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</si>
  <si>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</si>
  <si>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</si>
  <si>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</si>
  <si>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</si>
  <si>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</si>
  <si>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</si>
  <si>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</si>
  <si>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</si>
  <si>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</si>
  <si>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</si>
  <si>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</si>
  <si>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</si>
  <si>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</si>
  <si>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</si>
  <si>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</si>
  <si>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</si>
  <si>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</si>
  <si>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</si>
  <si>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</si>
  <si>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</si>
  <si>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</si>
  <si>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</si>
  <si>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</si>
  <si>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</si>
  <si>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</si>
  <si>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</si>
  <si>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</si>
  <si>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</si>
  <si>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</si>
  <si>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</si>
  <si>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</si>
  <si>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</si>
  <si>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</si>
  <si>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</si>
  <si>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</si>
  <si>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</si>
  <si>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</si>
  <si>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</si>
  <si>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</si>
  <si>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</si>
  <si>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</si>
  <si>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</si>
  <si>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</si>
  <si>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</si>
  <si>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</si>
  <si>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</si>
  <si>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</si>
  <si>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</si>
  <si>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</si>
  <si>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</si>
  <si>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</si>
  <si>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</si>
  <si>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</si>
  <si>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</si>
  <si>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</si>
  <si>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</si>
  <si>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</si>
  <si>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</si>
  <si>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</si>
  <si>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</si>
  <si>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</si>
  <si>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</si>
  <si>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</si>
  <si>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</si>
  <si>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</si>
  <si>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</si>
  <si>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</si>
  <si>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</si>
  <si>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</si>
  <si>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</si>
  <si>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</si>
  <si>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</si>
  <si>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</si>
  <si>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</si>
  <si>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</si>
  <si>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</si>
  <si>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</si>
  <si>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</si>
  <si>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</si>
  <si>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</si>
  <si>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</si>
  <si>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</si>
  <si>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</si>
  <si>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</si>
  <si>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</si>
  <si>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</si>
  <si>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</si>
  <si>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</si>
  <si>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</si>
  <si>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</si>
  <si>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</si>
  <si>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</si>
  <si>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</si>
  <si>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</si>
  <si>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</si>
  <si>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</si>
  <si>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</si>
  <si>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</si>
  <si>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</si>
  <si>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</si>
  <si>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</si>
  <si>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</si>
  <si>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</si>
  <si>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</si>
  <si>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</si>
  <si>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</si>
  <si>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</si>
  <si>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</si>
  <si>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</si>
  <si>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</si>
  <si>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</si>
  <si>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</si>
  <si>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</si>
  <si>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</si>
  <si>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</si>
  <si>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</si>
  <si>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</si>
  <si>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</si>
  <si>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</si>
  <si>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</si>
  <si>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</si>
  <si>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</si>
  <si>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</si>
  <si>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</si>
  <si>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</si>
  <si>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</si>
  <si>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</si>
  <si>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</si>
  <si>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</si>
  <si>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</si>
  <si>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</si>
  <si>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</si>
  <si>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</si>
  <si>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</si>
  <si>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</si>
  <si>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</si>
  <si>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</si>
  <si>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</si>
  <si>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</si>
  <si>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</si>
  <si>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</si>
  <si>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</si>
  <si>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</si>
  <si>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</si>
  <si>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</si>
  <si>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</si>
  <si>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</si>
  <si>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</si>
  <si>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</si>
  <si>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</si>
  <si>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</si>
  <si>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</si>
  <si>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</si>
  <si>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</si>
  <si>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</si>
  <si>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</si>
  <si>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</si>
  <si>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</si>
  <si>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</si>
  <si>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</si>
  <si>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</si>
  <si>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</si>
  <si>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</si>
  <si>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</si>
  <si>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</si>
  <si>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</si>
  <si>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</si>
  <si>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</si>
  <si>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</si>
  <si>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</si>
  <si>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</si>
  <si>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</si>
  <si>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</si>
  <si>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</si>
  <si>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</si>
  <si>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</si>
  <si>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</si>
  <si>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</si>
  <si>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</si>
  <si>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</si>
  <si>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</si>
  <si>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</si>
  <si>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</si>
  <si>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</si>
  <si>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</si>
  <si>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</si>
  <si>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</si>
  <si>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</si>
  <si>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</si>
  <si>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</si>
  <si>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</si>
  <si>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</si>
  <si>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</si>
  <si>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</si>
  <si>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</si>
  <si>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</si>
  <si>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</si>
  <si>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</si>
  <si>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</si>
  <si>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</si>
  <si>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</si>
  <si>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</si>
  <si>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</si>
  <si>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</si>
  <si>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</si>
  <si>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</si>
  <si>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</si>
  <si>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</si>
  <si>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</si>
  <si>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</si>
  <si>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</si>
  <si>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</si>
  <si>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</si>
  <si>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</si>
  <si>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</si>
  <si>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</si>
  <si>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</si>
  <si>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</si>
  <si>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</si>
  <si>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</si>
  <si>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</si>
  <si>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</si>
  <si>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</si>
  <si>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</si>
  <si>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</si>
  <si>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</si>
  <si>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</si>
  <si>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</si>
  <si>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</si>
  <si>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</si>
  <si>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</si>
  <si>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</si>
  <si>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</si>
  <si>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</si>
  <si>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</si>
  <si>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</si>
  <si>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</si>
  <si>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</si>
  <si>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</si>
  <si>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</si>
  <si>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</si>
  <si>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</si>
  <si>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</si>
  <si>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</si>
  <si>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</si>
  <si>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</si>
  <si>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</si>
  <si>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</si>
  <si>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</si>
  <si>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</si>
  <si>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</si>
  <si>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</si>
  <si>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</si>
  <si>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</si>
  <si>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</si>
  <si>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</si>
  <si>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</si>
  <si>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</si>
  <si>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</si>
  <si>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</si>
  <si>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</si>
  <si>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</si>
  <si>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</si>
  <si>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</si>
  <si>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</si>
  <si>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</si>
  <si>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</si>
  <si>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</si>
  <si>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</si>
  <si>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</si>
  <si>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</si>
  <si>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</si>
  <si>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</si>
  <si>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</si>
  <si>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</si>
  <si>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</si>
  <si>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</si>
  <si>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</si>
  <si>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</si>
  <si>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</si>
  <si>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</si>
  <si>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</si>
  <si>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</si>
  <si>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</si>
  <si>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</si>
  <si>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</si>
  <si>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</si>
  <si>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</si>
  <si>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</si>
  <si>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</si>
  <si>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</si>
  <si>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</si>
  <si>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</si>
  <si>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</si>
  <si>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</si>
  <si>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</si>
  <si>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</si>
  <si>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</si>
  <si>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</si>
  <si>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</si>
  <si>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</si>
  <si>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</si>
  <si>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</si>
  <si>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</si>
  <si>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</si>
  <si>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</si>
  <si>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</si>
  <si>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</si>
  <si>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</si>
  <si>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</si>
  <si>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</si>
  <si>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</si>
  <si>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</si>
  <si>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</si>
  <si>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</si>
  <si>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</si>
  <si>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</si>
  <si>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</si>
  <si>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</si>
  <si>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</si>
  <si>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</si>
  <si>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</si>
  <si>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</si>
  <si>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</si>
  <si>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</si>
  <si>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</si>
  <si>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</si>
  <si>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</si>
  <si>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</si>
  <si>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</si>
  <si>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</si>
  <si>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</si>
  <si>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</si>
  <si>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</si>
  <si>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</si>
  <si>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</si>
  <si>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</si>
  <si>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</si>
  <si>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</si>
  <si>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</si>
  <si>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</si>
  <si>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</si>
  <si>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</si>
  <si>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</si>
  <si>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</si>
  <si>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</si>
  <si>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</si>
  <si>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</si>
  <si>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</si>
  <si>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</si>
  <si>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</si>
  <si>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</si>
  <si>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</si>
  <si>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</si>
  <si>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</si>
  <si>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</si>
  <si>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</si>
  <si>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</si>
  <si>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</si>
  <si>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</si>
  <si>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</si>
  <si>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</si>
  <si>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</si>
  <si>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</si>
  <si>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</si>
  <si>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</si>
  <si>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</si>
  <si>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</si>
  <si>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</si>
  <si>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</si>
  <si>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</si>
  <si>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</si>
  <si>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</si>
  <si>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</si>
  <si>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</si>
  <si>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</si>
  <si>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</si>
  <si>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</si>
  <si>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</si>
  <si>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</si>
  <si>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</si>
  <si>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</si>
  <si>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</si>
  <si>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</si>
  <si>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</si>
  <si>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</si>
  <si>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</si>
  <si>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</si>
  <si>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</si>
  <si>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</si>
  <si>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</si>
  <si>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</si>
  <si>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</si>
  <si>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</si>
  <si>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</si>
  <si>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</si>
  <si>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</si>
  <si>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</si>
  <si>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</si>
  <si>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</si>
  <si>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</si>
  <si>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</si>
  <si>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</si>
  <si>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</si>
  <si>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</si>
  <si>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</si>
  <si>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</si>
  <si>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</si>
  <si>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</si>
  <si>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</si>
  <si>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</si>
  <si>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</si>
  <si>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</si>
  <si>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</si>
  <si>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</si>
  <si>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</si>
  <si>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</si>
  <si>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</si>
  <si>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</si>
  <si>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</si>
  <si>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</si>
  <si>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</si>
  <si>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</si>
  <si>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</si>
  <si>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</si>
  <si>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</si>
  <si>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</si>
  <si>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</si>
  <si>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</si>
  <si>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</si>
  <si>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</si>
  <si>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</si>
  <si>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</si>
  <si>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</si>
  <si>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</si>
  <si>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</si>
  <si>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</si>
  <si>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</si>
  <si>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</si>
  <si>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</si>
  <si>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</si>
  <si>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</si>
  <si>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</si>
  <si>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</si>
  <si>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</si>
  <si>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</si>
  <si>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</si>
  <si>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</si>
  <si>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</si>
  <si>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</si>
  <si>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</si>
  <si>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</si>
  <si>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</si>
  <si>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</si>
  <si>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</si>
  <si>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</si>
  <si>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</si>
  <si>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</si>
  <si>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</si>
  <si>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</si>
  <si>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</si>
  <si>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</si>
  <si>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</si>
  <si>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</si>
  <si>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</si>
  <si>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</si>
  <si>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</si>
  <si>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</si>
  <si>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</si>
  <si>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</si>
  <si>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</si>
  <si>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</si>
  <si>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</si>
  <si>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</si>
  <si>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</si>
  <si>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</si>
  <si>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</si>
  <si>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</si>
  <si>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</si>
  <si>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</si>
  <si>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</si>
  <si>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</si>
  <si>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</si>
  <si>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</si>
  <si>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</si>
  <si>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</si>
  <si>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</si>
  <si>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</si>
  <si>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</si>
  <si>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</si>
  <si>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</si>
  <si>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</si>
  <si>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</si>
  <si>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</si>
  <si>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</si>
  <si>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</si>
  <si>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</si>
  <si>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</si>
  <si>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</si>
  <si>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</si>
  <si>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</si>
  <si>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</si>
  <si>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</si>
  <si>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</si>
  <si>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</si>
  <si>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</si>
  <si>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</si>
  <si>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</si>
  <si>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</si>
  <si>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</si>
  <si>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</si>
  <si>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</si>
  <si>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</si>
  <si>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</si>
  <si>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</si>
  <si>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</si>
  <si>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</si>
  <si>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</si>
  <si>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</si>
  <si>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</si>
  <si>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</si>
  <si>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</si>
  <si>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</si>
  <si>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</si>
  <si>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</si>
  <si>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</si>
  <si>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</si>
  <si>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</si>
  <si>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</si>
  <si>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</si>
  <si>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</si>
  <si>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</si>
  <si>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</si>
  <si>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</si>
  <si>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</si>
  <si>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</si>
  <si>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</si>
  <si>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</si>
  <si>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</si>
  <si>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</si>
  <si>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</si>
  <si>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</si>
  <si>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</si>
  <si>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</si>
  <si>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</si>
  <si>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</si>
  <si>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</si>
  <si>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</si>
  <si>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</si>
  <si>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</si>
  <si>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</si>
  <si>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</si>
  <si>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</si>
  <si>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</si>
  <si>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</si>
  <si>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</si>
  <si>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</si>
  <si>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</si>
  <si>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</si>
  <si>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</si>
  <si>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</si>
  <si>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</si>
  <si>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</si>
  <si>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</si>
  <si>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</si>
  <si>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</si>
  <si>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</si>
  <si>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</si>
  <si>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</si>
  <si>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</si>
  <si>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</si>
  <si>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</si>
  <si>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</si>
  <si>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</si>
  <si>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</si>
  <si>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</si>
  <si>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</si>
  <si>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</si>
  <si>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</si>
  <si>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</si>
  <si>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</si>
  <si>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</si>
  <si>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</si>
  <si>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</si>
  <si>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</si>
  <si>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</si>
  <si>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</si>
  <si>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</si>
  <si>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</si>
  <si>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</si>
  <si>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</si>
  <si>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</si>
  <si>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</si>
  <si>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</si>
  <si>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</si>
  <si>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</si>
  <si>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</si>
  <si>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</si>
  <si>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</si>
  <si>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</si>
  <si>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</si>
  <si>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</si>
  <si>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</si>
  <si>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</si>
  <si>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</si>
  <si>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</si>
  <si>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</si>
  <si>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</si>
  <si>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</si>
  <si>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</si>
  <si>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</si>
  <si>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</si>
  <si>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</si>
  <si>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</si>
  <si>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</si>
  <si>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</si>
  <si>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</si>
  <si>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</si>
  <si>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</si>
  <si>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</si>
  <si>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</si>
  <si>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</si>
  <si>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</si>
  <si>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</si>
  <si>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</si>
  <si>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</si>
  <si>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</si>
  <si>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</si>
  <si>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</si>
  <si>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</si>
  <si>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</si>
  <si>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</si>
  <si>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</si>
  <si>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</si>
  <si>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</si>
  <si>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</si>
  <si>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</si>
  <si>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</si>
  <si>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</si>
  <si>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</si>
  <si>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</si>
  <si>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</si>
  <si>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</si>
  <si>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</si>
  <si>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</si>
  <si>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</si>
  <si>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</si>
  <si>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</si>
  <si>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</si>
  <si>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</si>
  <si>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</si>
  <si>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</si>
  <si>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</si>
  <si>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</si>
  <si>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</si>
  <si>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</si>
  <si>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</si>
  <si>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</si>
  <si>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</si>
  <si>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</si>
  <si>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</si>
  <si>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</si>
  <si>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</si>
  <si>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</si>
  <si>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</si>
  <si>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</si>
  <si>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</si>
  <si>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</si>
  <si>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</si>
  <si>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</si>
  <si>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</si>
  <si>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</si>
  <si>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</si>
  <si>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</si>
  <si>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</si>
  <si>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</si>
  <si>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</si>
  <si>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</si>
  <si>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</si>
  <si>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</si>
  <si>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</si>
  <si>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</si>
  <si>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</si>
  <si>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</si>
  <si>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</si>
  <si>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</si>
  <si>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</si>
  <si>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</si>
  <si>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</si>
  <si>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</si>
  <si>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</si>
  <si>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</si>
  <si>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</si>
  <si>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</si>
  <si>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</si>
  <si>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</si>
  <si>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</si>
  <si>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</si>
  <si>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</si>
  <si>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</si>
  <si>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</si>
  <si>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</si>
  <si>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</si>
  <si>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</si>
  <si>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</si>
  <si>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</si>
  <si>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</si>
  <si>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</si>
  <si>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</si>
  <si>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</si>
  <si>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</si>
  <si>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</si>
  <si>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</si>
  <si>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</si>
  <si>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</si>
  <si>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</si>
  <si>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</si>
  <si>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</si>
  <si>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</si>
  <si>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</si>
  <si>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</si>
  <si>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</si>
  <si>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</si>
  <si>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</si>
  <si>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</si>
  <si>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</si>
  <si>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</si>
  <si>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</si>
  <si>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</si>
  <si>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</si>
  <si>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</si>
  <si>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</si>
  <si>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</si>
  <si>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</si>
  <si>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</si>
  <si>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</si>
  <si>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</si>
  <si>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</si>
  <si>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</si>
  <si>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</si>
  <si>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</si>
  <si>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</si>
  <si>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</si>
  <si>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</si>
  <si>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</si>
  <si>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</si>
  <si>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</si>
  <si>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</si>
  <si>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</si>
  <si>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</si>
  <si>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</si>
  <si>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</si>
  <si>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</si>
  <si>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</si>
  <si>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</si>
  <si>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</si>
  <si>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</si>
  <si>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</si>
  <si>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</si>
  <si>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</si>
  <si>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</si>
  <si>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</si>
  <si>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</si>
  <si>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</si>
  <si>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</si>
  <si>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</si>
  <si>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</si>
  <si>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</si>
  <si>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</si>
  <si>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</si>
  <si>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</si>
  <si>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</si>
  <si>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</si>
  <si>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</si>
  <si>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</si>
  <si>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</si>
  <si>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</si>
  <si>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</si>
  <si>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</si>
  <si>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</si>
  <si>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</si>
  <si>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</si>
  <si>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</si>
  <si>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</si>
  <si>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</si>
  <si>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</si>
  <si>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</si>
  <si>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</si>
  <si>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</si>
  <si>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</si>
  <si>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</si>
  <si>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</si>
  <si>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</si>
  <si>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</si>
  <si>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</si>
  <si>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</si>
  <si>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</si>
  <si>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</si>
  <si>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</si>
  <si>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</si>
  <si>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</si>
  <si>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</si>
  <si>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</si>
  <si>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</si>
  <si>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</si>
  <si>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</si>
  <si>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</si>
  <si>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</si>
  <si>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</si>
  <si>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</si>
  <si>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</si>
  <si>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</si>
  <si>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</si>
  <si>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</si>
  <si>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</si>
  <si>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</si>
  <si>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</si>
  <si>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</si>
  <si>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</si>
  <si>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</si>
  <si>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</si>
  <si>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</si>
  <si>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</si>
  <si>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</si>
  <si>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</si>
  <si>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</si>
  <si>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</si>
  <si>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</si>
  <si>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</si>
  <si>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</si>
  <si>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</si>
  <si>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</si>
  <si>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</si>
  <si>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</si>
  <si>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</si>
  <si>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</si>
  <si>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</si>
  <si>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</si>
  <si>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</si>
  <si>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</si>
  <si>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</si>
  <si>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</si>
  <si>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</si>
  <si>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</si>
  <si>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</si>
  <si>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</si>
  <si>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</si>
  <si>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</si>
  <si>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</si>
  <si>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</si>
  <si>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</si>
  <si>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</si>
  <si>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</si>
  <si>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</si>
  <si>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</si>
  <si>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</si>
  <si>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</si>
  <si>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</si>
  <si>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</si>
  <si>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</si>
  <si>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</si>
  <si>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</si>
  <si>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</si>
  <si>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</si>
  <si>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</si>
  <si>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</si>
  <si>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</si>
  <si>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</si>
  <si>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</si>
  <si>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</si>
  <si>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</si>
  <si>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</si>
  <si>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</si>
  <si>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</si>
  <si>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</si>
  <si>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</si>
  <si>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</si>
  <si>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</si>
  <si>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</si>
  <si>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</si>
  <si>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</si>
  <si>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</si>
  <si>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</si>
  <si>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</si>
  <si>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</si>
  <si>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</si>
  <si>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</si>
  <si>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</si>
  <si>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</si>
  <si>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</si>
  <si>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</si>
  <si>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</si>
  <si>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</si>
  <si>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</si>
  <si>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</si>
  <si>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</si>
  <si>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</si>
  <si>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</si>
  <si>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</si>
  <si>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</si>
  <si>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</si>
  <si>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</si>
  <si>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</si>
  <si>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</si>
  <si>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</si>
  <si>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</si>
  <si>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</si>
  <si>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</si>
  <si>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</si>
  <si>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</si>
  <si>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</si>
  <si>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</si>
  <si>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</si>
  <si>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</si>
  <si>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</si>
  <si>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</si>
  <si>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</si>
  <si>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</si>
  <si>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</si>
  <si>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</si>
  <si>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</si>
  <si>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</si>
  <si>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</si>
  <si>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</si>
  <si>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</si>
  <si>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</si>
  <si>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</si>
  <si>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</si>
  <si>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</si>
  <si>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</si>
  <si>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</si>
  <si>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</si>
  <si>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</si>
  <si>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</si>
  <si>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</si>
  <si>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</si>
  <si>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</si>
  <si>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</si>
  <si>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</si>
  <si>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</si>
  <si>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</si>
  <si>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</si>
  <si>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</si>
  <si>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</si>
  <si>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</si>
  <si>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</si>
  <si>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</si>
  <si>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</si>
  <si>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</si>
  <si>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</si>
  <si>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</si>
  <si>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</si>
  <si>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</si>
  <si>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</si>
  <si>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</si>
  <si>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</si>
  <si>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</si>
  <si>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</si>
  <si>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</si>
  <si>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</si>
  <si>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</si>
  <si>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</si>
  <si>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</si>
  <si>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</si>
  <si>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</si>
  <si>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</si>
  <si>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</si>
  <si>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</si>
  <si>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</si>
  <si>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</si>
  <si>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</si>
  <si>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</si>
  <si>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</si>
  <si>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</si>
  <si>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</si>
  <si>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</si>
  <si>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</si>
  <si>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</si>
  <si>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</si>
  <si>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</si>
  <si>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</si>
  <si>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</si>
  <si>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</si>
  <si>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</si>
  <si>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</si>
  <si>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</si>
  <si>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</si>
  <si>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</si>
  <si>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</si>
  <si>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</si>
  <si>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</si>
  <si>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</si>
  <si>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</si>
  <si>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</si>
  <si>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</si>
  <si>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</si>
  <si>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</si>
  <si>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</si>
  <si>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</si>
  <si>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</si>
  <si>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</si>
  <si>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</si>
  <si>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</si>
  <si>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</si>
  <si>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</si>
  <si>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</si>
  <si>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</si>
  <si>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</si>
  <si>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</si>
  <si>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</si>
  <si>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</si>
  <si>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</si>
  <si>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</si>
  <si>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</si>
  <si>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</si>
  <si>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</si>
  <si>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</si>
  <si>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</si>
  <si>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</si>
  <si>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</si>
  <si>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</si>
  <si>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</si>
  <si>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</si>
  <si>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</si>
  <si>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</si>
  <si>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</si>
  <si>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</si>
  <si>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</si>
  <si>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</si>
  <si>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</si>
  <si>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</si>
  <si>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</si>
  <si>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</si>
  <si>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</si>
  <si>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</si>
  <si>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</si>
  <si>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</si>
  <si>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</si>
  <si>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</si>
  <si>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</si>
  <si>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</si>
  <si>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</si>
  <si>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</si>
  <si>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</si>
  <si>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</si>
  <si>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</si>
  <si>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</si>
  <si>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</si>
  <si>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</si>
  <si>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</si>
  <si>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</si>
  <si>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</si>
  <si>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</si>
  <si>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</si>
  <si>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</si>
  <si>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</si>
  <si>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</si>
  <si>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</si>
  <si>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</si>
  <si>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</si>
  <si>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</si>
  <si>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</si>
  <si>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</si>
  <si>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</si>
  <si>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</si>
  <si>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</si>
  <si>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</si>
  <si>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</si>
  <si>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</si>
  <si>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</si>
  <si>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</si>
  <si>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</si>
  <si>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</si>
  <si>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</si>
  <si>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</si>
  <si>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</si>
  <si>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</si>
  <si>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</si>
  <si>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</si>
  <si>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</si>
  <si>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</si>
  <si>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</si>
  <si>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</si>
  <si>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</si>
  <si>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</si>
  <si>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</si>
  <si>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</si>
  <si>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</si>
  <si>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</si>
  <si>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</si>
  <si>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</si>
  <si>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</si>
  <si>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</si>
  <si>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</si>
  <si>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</si>
  <si>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</si>
  <si>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</si>
  <si>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</si>
  <si>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</si>
  <si>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</si>
  <si>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</si>
  <si>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</si>
  <si>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</si>
  <si>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</si>
  <si>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</si>
  <si>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</si>
  <si>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</si>
  <si>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</si>
  <si>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</si>
  <si>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</si>
  <si>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</si>
  <si>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</si>
  <si>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</si>
  <si>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</si>
  <si>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</si>
  <si>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</si>
  <si>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</si>
  <si>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</si>
  <si>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</si>
  <si>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</si>
  <si>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</si>
  <si>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</si>
  <si>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</si>
  <si>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</si>
  <si>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</si>
  <si>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</si>
  <si>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</si>
  <si>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</si>
  <si>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</si>
  <si>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</si>
  <si>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</si>
  <si>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</si>
  <si>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</si>
  <si>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</si>
  <si>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</si>
  <si>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</si>
  <si>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</si>
  <si>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</si>
  <si>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</si>
  <si>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</si>
  <si>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</si>
  <si>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</si>
  <si>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</si>
  <si>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</si>
  <si>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</si>
  <si>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</si>
  <si>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</si>
  <si>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</si>
  <si>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</si>
  <si>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</si>
  <si>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</si>
  <si>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</si>
  <si>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</si>
  <si>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</si>
  <si>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</si>
  <si>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</si>
  <si>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</si>
  <si>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</si>
  <si>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</si>
  <si>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</si>
  <si>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</si>
  <si>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</si>
  <si>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</si>
  <si>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</si>
  <si>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</si>
  <si>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</si>
  <si>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</si>
  <si>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</si>
  <si>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</si>
  <si>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</si>
  <si>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</si>
  <si>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</si>
  <si>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</si>
  <si>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</si>
  <si>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</si>
  <si>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</si>
  <si>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</si>
  <si>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</si>
  <si>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</si>
  <si>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</si>
  <si>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</si>
  <si>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</si>
  <si>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</si>
  <si>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</si>
  <si>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</si>
  <si>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</si>
  <si>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</si>
  <si>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</si>
  <si>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</si>
  <si>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</si>
  <si>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</si>
  <si>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</si>
  <si>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</si>
  <si>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</si>
  <si>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</si>
  <si>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</si>
  <si>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</si>
  <si>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</si>
  <si>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</si>
  <si>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</si>
  <si>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</si>
  <si>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</si>
  <si>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</si>
  <si>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</si>
  <si>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</si>
  <si>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</si>
  <si>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</si>
  <si>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</si>
  <si>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</si>
  <si>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</si>
  <si>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</si>
  <si>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</si>
  <si>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</si>
  <si>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</si>
  <si>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</si>
  <si>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</si>
  <si>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</si>
  <si>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</si>
  <si>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</si>
  <si>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</si>
  <si>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</si>
  <si>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</si>
  <si>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</si>
  <si>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</si>
  <si>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</si>
  <si>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</si>
  <si>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</si>
  <si>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</si>
  <si>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</si>
  <si>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</si>
  <si>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</si>
  <si>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</si>
  <si>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</si>
  <si>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</si>
  <si>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</si>
  <si>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</si>
  <si>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</si>
  <si>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</si>
  <si>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</si>
  <si>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</si>
  <si>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</si>
  <si>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</si>
  <si>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</si>
  <si>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</si>
  <si>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</si>
  <si>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</si>
  <si>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</si>
  <si>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</si>
  <si>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</si>
  <si>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</si>
  <si>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</si>
  <si>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</si>
  <si>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</si>
  <si>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</si>
  <si>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</si>
  <si>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</si>
  <si>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</si>
  <si>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</si>
  <si>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</si>
  <si>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</si>
  <si>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</si>
  <si>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</si>
  <si>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</si>
  <si>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</si>
  <si>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</si>
  <si>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</si>
  <si>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</si>
  <si>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</si>
  <si>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</si>
  <si>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</si>
  <si>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</si>
  <si>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</si>
  <si>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</si>
  <si>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</si>
  <si>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</si>
  <si>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</si>
  <si>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</si>
  <si>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</si>
  <si>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</si>
  <si>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</si>
  <si>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</si>
  <si>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</si>
  <si>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</si>
  <si>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</si>
  <si>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</si>
  <si>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</si>
  <si>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</si>
  <si>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</si>
  <si>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</si>
  <si>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</si>
  <si>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</si>
  <si>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</si>
  <si>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</si>
  <si>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</si>
  <si>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</si>
  <si>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</si>
  <si>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</si>
  <si>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</si>
  <si>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</si>
  <si>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</si>
  <si>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</si>
  <si>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</si>
  <si>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</si>
  <si>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</si>
  <si>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</si>
  <si>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</si>
  <si>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</si>
  <si>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</si>
  <si>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</si>
  <si>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</si>
  <si>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</si>
  <si>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</si>
  <si>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</si>
  <si>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</si>
  <si>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</si>
  <si>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</si>
  <si>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</si>
  <si>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</si>
  <si>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</si>
  <si>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</si>
  <si>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</si>
  <si>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</si>
  <si>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</si>
  <si>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</si>
  <si>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</si>
  <si>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</si>
  <si>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</si>
  <si>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</si>
  <si>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</si>
  <si>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</si>
  <si>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</si>
  <si>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</si>
  <si>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</si>
  <si>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</si>
  <si>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</si>
  <si>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</si>
  <si>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</si>
  <si>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</si>
  <si>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</si>
  <si>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</si>
  <si>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</si>
  <si>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</si>
  <si>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</si>
  <si>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</si>
  <si>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</si>
  <si>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</si>
  <si>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</si>
  <si>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</si>
  <si>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</si>
  <si>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</si>
  <si>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</si>
  <si>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</si>
  <si>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</si>
  <si>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</si>
  <si>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</si>
  <si>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</si>
  <si>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</si>
  <si>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</si>
  <si>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</si>
  <si>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</si>
  <si>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</si>
  <si>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</si>
  <si>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</si>
  <si>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</si>
  <si>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</si>
  <si>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</si>
  <si>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</si>
  <si>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</si>
  <si>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</si>
  <si>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</si>
  <si>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</si>
  <si>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</si>
  <si>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</si>
  <si>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</si>
  <si>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</si>
  <si>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</si>
  <si>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</si>
  <si>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</si>
  <si>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</si>
  <si>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</si>
  <si>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</si>
  <si>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</si>
  <si>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</si>
  <si>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</si>
  <si>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</si>
  <si>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</si>
  <si>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</si>
  <si>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</si>
  <si>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</si>
  <si>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</si>
  <si>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</si>
  <si>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</si>
  <si>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</si>
  <si>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</si>
  <si>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</si>
  <si>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</si>
  <si>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</si>
  <si>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</si>
  <si>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</si>
  <si>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</si>
  <si>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</si>
  <si>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</si>
  <si>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</si>
  <si>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</si>
  <si>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</si>
  <si>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</si>
  <si>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</si>
  <si>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</si>
  <si>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</si>
  <si>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</si>
  <si>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</si>
  <si>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</si>
  <si>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</si>
  <si>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</si>
  <si>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</si>
  <si>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</si>
  <si>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</si>
  <si>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</si>
  <si>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</si>
  <si>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</si>
  <si>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</si>
  <si>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</si>
  <si>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</si>
  <si>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</si>
  <si>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</si>
  <si>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</si>
  <si>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</si>
  <si>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</si>
  <si>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</si>
  <si>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</si>
  <si>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</si>
  <si>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</si>
  <si>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</si>
  <si>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</si>
  <si>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</si>
  <si>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</si>
  <si>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</si>
  <si>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</si>
  <si>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</si>
  <si>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</si>
  <si>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</si>
  <si>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</si>
  <si>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</si>
  <si>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</si>
  <si>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</si>
  <si>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</si>
  <si>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</si>
  <si>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</si>
  <si>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</si>
  <si>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</si>
  <si>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</si>
  <si>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</si>
  <si>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</si>
  <si>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</si>
  <si>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</si>
  <si>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</si>
  <si>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</si>
  <si>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</si>
  <si>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</si>
  <si>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</si>
  <si>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</si>
  <si>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</si>
  <si>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</si>
  <si>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</si>
  <si>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</si>
  <si>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</si>
  <si>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</si>
  <si>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</si>
  <si>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</si>
  <si>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</si>
  <si>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</si>
  <si>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</si>
  <si>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</si>
  <si>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</si>
  <si>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</si>
  <si>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</si>
  <si>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</si>
  <si>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</si>
  <si>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</si>
  <si>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</si>
  <si>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</si>
  <si>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</si>
  <si>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</si>
  <si>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</si>
  <si>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</si>
  <si>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</si>
  <si>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</si>
  <si>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</si>
  <si>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</si>
  <si>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</si>
  <si>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</si>
  <si>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</si>
  <si>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</si>
  <si>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</si>
  <si>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</si>
  <si>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</si>
  <si>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</si>
  <si>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</si>
  <si>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</si>
  <si>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</si>
  <si>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</si>
  <si>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</si>
  <si>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</si>
  <si>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</si>
  <si>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</si>
  <si>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</si>
  <si>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</si>
  <si>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</si>
  <si>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</si>
  <si>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</si>
  <si>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</si>
  <si>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</si>
  <si>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</si>
  <si>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</si>
  <si>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</si>
  <si>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</si>
  <si>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</si>
  <si>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</si>
  <si>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</si>
  <si>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</si>
  <si>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</si>
  <si>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</si>
  <si>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</si>
  <si>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</si>
  <si>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</si>
  <si>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</si>
  <si>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</si>
  <si>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</si>
  <si>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</si>
  <si>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</si>
  <si>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</si>
  <si>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</si>
  <si>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</si>
  <si>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</si>
  <si>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</si>
  <si>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</si>
  <si>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</si>
  <si>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</si>
  <si>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</si>
  <si>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</si>
  <si>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</si>
  <si>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</si>
  <si>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</si>
  <si>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</si>
  <si>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</si>
  <si>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</si>
  <si>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</si>
  <si>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</si>
  <si>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</si>
  <si>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</si>
  <si>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</si>
  <si>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</si>
  <si>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</si>
  <si>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</si>
  <si>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</si>
  <si>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</si>
  <si>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</si>
  <si>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</si>
  <si>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</si>
  <si>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</si>
  <si>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</si>
  <si>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</si>
  <si>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</si>
  <si>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</si>
  <si>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</si>
  <si>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</si>
  <si>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</si>
  <si>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</si>
  <si>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</si>
  <si>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</si>
  <si>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</si>
  <si>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</si>
  <si>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</si>
  <si>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</si>
  <si>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</si>
  <si>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</si>
  <si>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</si>
  <si>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</si>
  <si>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</si>
  <si>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</si>
  <si>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</si>
  <si>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</si>
  <si>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</si>
  <si>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</si>
  <si>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</si>
  <si>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</si>
  <si>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</si>
  <si>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</si>
  <si>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</si>
  <si>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</si>
  <si>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</si>
  <si>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</si>
  <si>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</si>
  <si>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</si>
  <si>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</si>
  <si>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</si>
  <si>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</si>
  <si>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</si>
  <si>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</si>
  <si>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</si>
  <si>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</si>
  <si>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</si>
  <si>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</si>
  <si>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</si>
  <si>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</si>
  <si>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</si>
  <si>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</si>
  <si>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</si>
  <si>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</si>
  <si>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</si>
  <si>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</si>
  <si>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</si>
  <si>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</si>
  <si>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</si>
  <si>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</si>
  <si>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</si>
  <si>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</si>
  <si>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</si>
  <si>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</si>
  <si>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</si>
  <si>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</si>
  <si>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</si>
  <si>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</si>
  <si>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</si>
  <si>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</si>
  <si>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</si>
  <si>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</si>
  <si>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</si>
  <si>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</si>
  <si>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</si>
  <si>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</si>
  <si>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</si>
  <si>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</si>
  <si>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</si>
  <si>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</si>
  <si>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</si>
  <si>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</si>
  <si>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</si>
  <si>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</si>
  <si>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</si>
  <si>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</si>
  <si>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</si>
  <si>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</si>
  <si>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</si>
  <si>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</si>
  <si>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</si>
  <si>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</si>
  <si>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</si>
  <si>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</si>
  <si>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</si>
  <si>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</si>
  <si>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</si>
  <si>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</si>
  <si>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</si>
  <si>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</si>
  <si>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</si>
  <si>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</si>
  <si>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</si>
  <si>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</si>
  <si>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</si>
  <si>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</si>
  <si>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</si>
  <si>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</si>
  <si>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</si>
  <si>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</si>
  <si>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</si>
  <si>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</si>
  <si>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</si>
  <si>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</si>
  <si>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</si>
  <si>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</si>
  <si>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</si>
  <si>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</si>
  <si>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</si>
  <si>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</si>
  <si>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</si>
  <si>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</si>
  <si>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</si>
  <si>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</si>
  <si>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</si>
  <si>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</si>
  <si>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</si>
  <si>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</si>
  <si>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</si>
  <si>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</si>
  <si>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</si>
  <si>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</si>
  <si>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</si>
  <si>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</si>
  <si>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</si>
  <si>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</si>
  <si>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</si>
  <si>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</si>
  <si>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</si>
  <si>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</si>
  <si>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</si>
  <si>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</si>
  <si>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</si>
  <si>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</si>
  <si>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</si>
  <si>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</si>
  <si>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</si>
  <si>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</si>
  <si>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</si>
  <si>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</si>
  <si>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</si>
  <si>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</si>
  <si>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</si>
  <si>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</si>
  <si>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</si>
  <si>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</si>
  <si>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</si>
  <si>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</si>
  <si>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</si>
  <si>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</si>
  <si>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</si>
  <si>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</si>
  <si>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</si>
  <si>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</si>
  <si>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</si>
  <si>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</si>
  <si>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</si>
  <si>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</si>
  <si>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</si>
  <si>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</si>
  <si>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</si>
  <si>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</si>
  <si>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</si>
  <si>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</si>
  <si>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</si>
  <si>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</si>
  <si>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</si>
  <si>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</si>
  <si>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</si>
  <si>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</si>
  <si>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</si>
  <si>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</si>
  <si>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</si>
  <si>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</si>
  <si>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</si>
  <si>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</si>
  <si>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</si>
  <si>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</si>
  <si>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</si>
  <si>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</si>
  <si>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</si>
  <si>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</si>
  <si>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</si>
  <si>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</si>
  <si>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</si>
  <si>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</si>
  <si>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</si>
  <si>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</si>
  <si>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</si>
  <si>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</si>
  <si>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</si>
  <si>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</si>
  <si>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</si>
  <si>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</si>
  <si>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</si>
  <si>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</si>
  <si>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</si>
  <si>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</si>
  <si>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</si>
  <si>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</si>
  <si>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</si>
  <si>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</si>
  <si>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</si>
  <si>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</si>
  <si>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</si>
  <si>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</si>
  <si>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</si>
  <si>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</si>
  <si>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</si>
  <si>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</si>
  <si>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</si>
  <si>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</si>
  <si>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</si>
  <si>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</si>
  <si>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</si>
  <si>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</si>
  <si>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</si>
  <si>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</si>
  <si>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</si>
  <si>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</si>
  <si>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</si>
  <si>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</si>
  <si>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</si>
  <si>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</si>
  <si>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</si>
  <si>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</si>
  <si>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</si>
  <si>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</si>
  <si>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</si>
  <si>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</si>
  <si>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</si>
  <si>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</si>
  <si>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</si>
  <si>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</si>
  <si>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</si>
  <si>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</si>
  <si>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</si>
  <si>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</si>
  <si>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</si>
  <si>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</si>
  <si>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</si>
  <si>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</si>
  <si>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</si>
  <si>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</si>
  <si>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</si>
  <si>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</si>
  <si>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</si>
  <si>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</si>
  <si>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</si>
  <si>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</si>
  <si>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</si>
  <si>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</si>
  <si>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</si>
  <si>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</si>
  <si>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</si>
  <si>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</si>
  <si>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</si>
  <si>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</si>
  <si>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</si>
  <si>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</si>
  <si>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</si>
  <si>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</si>
  <si>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</si>
  <si>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</si>
  <si>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</si>
  <si>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</si>
  <si>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</si>
  <si>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</si>
  <si>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</si>
  <si>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</si>
  <si>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</si>
  <si>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</si>
  <si>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</si>
  <si>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</si>
  <si>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</si>
  <si>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</si>
  <si>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</si>
  <si>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</si>
  <si>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</si>
  <si>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</si>
  <si>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</si>
  <si>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</si>
  <si>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</si>
  <si>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</si>
  <si>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</si>
  <si>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</si>
  <si>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</si>
  <si>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</si>
  <si>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</si>
  <si>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</si>
  <si>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</si>
  <si>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</si>
  <si>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</si>
  <si>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</si>
  <si>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</si>
  <si>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</si>
  <si>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</si>
  <si>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</si>
  <si>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</si>
  <si>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</si>
  <si>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</si>
  <si>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</si>
  <si>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</si>
  <si>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</si>
  <si>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</si>
  <si>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</si>
  <si>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</si>
  <si>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</si>
  <si>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</si>
  <si>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</si>
  <si>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</si>
  <si>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</si>
  <si>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</si>
  <si>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</si>
  <si>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</si>
  <si>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</si>
  <si>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</si>
  <si>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</si>
  <si>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</si>
  <si>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</si>
  <si>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</si>
  <si>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</si>
  <si>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</si>
  <si>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</si>
  <si>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</si>
  <si>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</si>
  <si>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</si>
  <si>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</si>
  <si>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</si>
  <si>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</si>
  <si>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</si>
  <si>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</si>
  <si>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</si>
  <si>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</si>
  <si>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</si>
  <si>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</si>
  <si>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</si>
  <si>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</si>
  <si>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</si>
  <si>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</si>
  <si>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</si>
  <si>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</si>
  <si>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</si>
  <si>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</si>
  <si>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</si>
  <si>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</si>
  <si>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</si>
  <si>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</si>
  <si>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</si>
  <si>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</si>
  <si>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</si>
  <si>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</si>
  <si>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</si>
  <si>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</si>
  <si>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</si>
  <si>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</si>
  <si>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</si>
  <si>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</si>
  <si>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</si>
  <si>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</si>
  <si>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</si>
  <si>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</si>
  <si>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</si>
  <si>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</si>
  <si>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</si>
  <si>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</si>
  <si>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</si>
  <si>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</si>
  <si>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</si>
  <si>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</si>
  <si>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</si>
  <si>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</si>
  <si>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</si>
  <si>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</si>
  <si>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</si>
  <si>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</si>
  <si>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</si>
  <si>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</si>
  <si>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</si>
  <si>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</si>
  <si>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</si>
  <si>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</si>
  <si>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</si>
  <si>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</si>
  <si>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</si>
  <si>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</si>
  <si>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</si>
  <si>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</si>
  <si>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</si>
  <si>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</si>
  <si>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</si>
  <si>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</si>
  <si>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</si>
  <si>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</si>
  <si>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</si>
  <si>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</si>
  <si>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</si>
  <si>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</si>
  <si>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</si>
  <si>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</si>
  <si>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</si>
  <si>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</si>
  <si>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</si>
  <si>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</si>
  <si>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</si>
  <si>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</si>
  <si>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</si>
  <si>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</si>
  <si>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</si>
  <si>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</si>
  <si>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</si>
  <si>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</si>
  <si>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</si>
  <si>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</si>
  <si>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</si>
  <si>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</si>
  <si>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</si>
  <si>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</si>
  <si>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</si>
  <si>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</si>
  <si>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</si>
  <si>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</si>
  <si>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</si>
  <si>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</si>
  <si>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</si>
  <si>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</si>
  <si>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</si>
  <si>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</si>
  <si>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</si>
  <si>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</si>
  <si>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</si>
  <si>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</si>
  <si>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</si>
  <si>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</si>
  <si>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</si>
  <si>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</si>
  <si>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</si>
  <si>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</si>
  <si>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</si>
  <si>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</si>
  <si>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</si>
  <si>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</si>
  <si>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</si>
  <si>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</si>
  <si>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</si>
  <si>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</si>
  <si>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</si>
  <si>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</si>
  <si>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</si>
  <si>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</si>
  <si>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</si>
  <si>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</si>
  <si>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</si>
  <si>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</si>
  <si>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</si>
  <si>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</si>
  <si>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</si>
  <si>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</si>
  <si>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</si>
  <si>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</si>
  <si>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</si>
  <si>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</si>
  <si>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</si>
  <si>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</si>
  <si>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</si>
  <si>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</si>
  <si>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</si>
  <si>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</si>
  <si>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</si>
  <si>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</si>
  <si>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</si>
  <si>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</si>
  <si>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</si>
  <si>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</si>
  <si>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</si>
  <si>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</si>
  <si>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</si>
  <si>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</si>
  <si>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</si>
  <si>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</si>
  <si>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</si>
  <si>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</si>
  <si>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</si>
  <si>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</si>
  <si>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</si>
  <si>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</si>
  <si>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</si>
  <si>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</si>
  <si>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</si>
  <si>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</si>
  <si>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</si>
  <si>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</si>
  <si>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</si>
  <si>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</si>
  <si>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</si>
  <si>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</si>
  <si>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</si>
  <si>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</si>
  <si>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</si>
  <si>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</si>
  <si>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</si>
  <si>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</si>
  <si>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</si>
  <si>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</si>
  <si>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</si>
  <si>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</si>
  <si>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</si>
  <si>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</si>
  <si>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</si>
  <si>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</si>
  <si>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</si>
  <si>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</si>
  <si>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</si>
  <si>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</si>
  <si>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</si>
  <si>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</si>
  <si>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</si>
  <si>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</si>
  <si>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</si>
  <si>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</si>
  <si>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</si>
  <si>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</si>
  <si>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</si>
  <si>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</si>
  <si>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</si>
  <si>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</si>
  <si>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</si>
  <si>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</si>
  <si>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</si>
  <si>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</si>
  <si>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</si>
  <si>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</si>
  <si>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</si>
  <si>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</si>
  <si>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</si>
  <si>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</si>
  <si>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</si>
  <si>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</si>
  <si>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</si>
  <si>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</si>
  <si>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</si>
  <si>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</si>
  <si>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</si>
  <si>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</si>
  <si>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</si>
  <si>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</si>
  <si>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</si>
  <si>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</si>
  <si>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</si>
  <si>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</si>
  <si>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</si>
  <si>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</si>
  <si>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</si>
  <si>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</si>
  <si>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</si>
  <si>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</si>
  <si>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</si>
  <si>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</si>
  <si>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</si>
  <si>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</si>
  <si>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</si>
  <si>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</si>
  <si>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</si>
  <si>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</si>
  <si>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</si>
  <si>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</si>
  <si>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</si>
  <si>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</si>
  <si>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</si>
  <si>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</si>
  <si>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</si>
  <si>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</si>
  <si>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</si>
  <si>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</si>
  <si>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</si>
  <si>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</si>
  <si>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</si>
  <si>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</si>
  <si>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</si>
  <si>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</si>
  <si>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</si>
  <si>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</si>
  <si>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</si>
  <si>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</si>
  <si>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</si>
  <si>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</si>
  <si>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</si>
  <si>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</si>
  <si>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</si>
  <si>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</si>
  <si>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</si>
  <si>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</si>
  <si>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</si>
  <si>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</si>
  <si>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</si>
  <si>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</si>
  <si>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</si>
  <si>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</si>
  <si>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</si>
  <si>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</si>
  <si>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</si>
  <si>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</si>
  <si>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</si>
  <si>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</si>
  <si>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</si>
  <si>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</si>
  <si>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</si>
  <si>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</si>
  <si>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</si>
  <si>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</si>
  <si>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</si>
  <si>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</si>
  <si>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</si>
  <si>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</si>
  <si>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</si>
  <si>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</si>
  <si>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</si>
  <si>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</si>
  <si>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</si>
  <si>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</si>
  <si>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</si>
  <si>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</si>
  <si>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</si>
  <si>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</si>
  <si>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</si>
  <si>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</si>
  <si>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</si>
  <si>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</si>
  <si>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</si>
  <si>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</si>
  <si>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</si>
  <si>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</si>
  <si>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</si>
  <si>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</si>
  <si>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</si>
  <si>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</si>
  <si>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</si>
  <si>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</si>
  <si>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</si>
  <si>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</si>
  <si>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</si>
  <si>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</si>
  <si>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</si>
  <si>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</si>
  <si>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</si>
  <si>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</si>
  <si>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</si>
  <si>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</si>
  <si>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</si>
  <si>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</si>
  <si>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</si>
  <si>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</si>
  <si>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</si>
  <si>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</si>
  <si>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</si>
  <si>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</si>
  <si>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</si>
  <si>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</si>
  <si>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</si>
  <si>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</si>
  <si>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</si>
  <si>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</si>
  <si>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</si>
  <si>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</si>
  <si>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</si>
  <si>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</si>
  <si>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</si>
  <si>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</si>
  <si>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</si>
  <si>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</si>
  <si>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</si>
  <si>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</si>
  <si>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</si>
  <si>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</si>
  <si>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</si>
  <si>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</si>
  <si>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</si>
  <si>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</si>
  <si>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</si>
  <si>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</si>
  <si>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</si>
  <si>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</si>
  <si>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</si>
  <si>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</si>
  <si>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</si>
  <si>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</si>
  <si>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</si>
  <si>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</si>
  <si>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</si>
  <si>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</si>
  <si>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</si>
  <si>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</si>
  <si>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</si>
  <si>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</si>
  <si>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</si>
  <si>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</si>
  <si>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</si>
  <si>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</si>
  <si>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</si>
  <si>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</si>
  <si>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</si>
  <si>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</si>
  <si>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</si>
  <si>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</si>
  <si>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</si>
  <si>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</si>
  <si>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</si>
  <si>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</si>
  <si>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</si>
  <si>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</si>
  <si>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</si>
  <si>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</si>
  <si>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</si>
  <si>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</si>
  <si>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</si>
  <si>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</si>
  <si>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</si>
  <si>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</si>
  <si>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</si>
  <si>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</si>
  <si>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</si>
  <si>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</si>
  <si>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</si>
  <si>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</si>
  <si>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</si>
  <si>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</si>
  <si>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</si>
  <si>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</si>
  <si>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</si>
  <si>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</si>
  <si>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</si>
  <si>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</si>
  <si>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</si>
  <si>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</si>
  <si>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</si>
  <si>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</si>
  <si>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</si>
  <si>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</si>
  <si>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</si>
  <si>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</si>
  <si>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</si>
  <si>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</si>
  <si>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</si>
  <si>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</si>
  <si>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</si>
  <si>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</si>
  <si>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</si>
  <si>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</si>
  <si>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</si>
  <si>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</si>
  <si>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</si>
  <si>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</si>
  <si>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</si>
  <si>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</si>
  <si>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</si>
  <si>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</si>
  <si>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</si>
  <si>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</si>
  <si>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</si>
  <si>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</si>
  <si>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</si>
  <si>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</si>
  <si>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</si>
  <si>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</si>
  <si>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</si>
  <si>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</si>
  <si>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</si>
  <si>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</si>
  <si>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</si>
  <si>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</si>
  <si>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</si>
  <si>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</si>
  <si>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</si>
  <si>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</si>
  <si>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</si>
  <si>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</si>
  <si>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</si>
  <si>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</si>
  <si>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</si>
  <si>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</si>
  <si>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</si>
  <si>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</si>
  <si>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</si>
  <si>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</si>
  <si>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</si>
  <si>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</si>
  <si>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</si>
  <si>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</si>
  <si>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</si>
  <si>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</si>
  <si>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</si>
  <si>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</si>
  <si>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</si>
  <si>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</si>
  <si>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</si>
  <si>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</si>
  <si>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</si>
  <si>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</si>
  <si>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</si>
  <si>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</si>
  <si>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</si>
  <si>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</si>
  <si>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</si>
  <si>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</si>
  <si>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</si>
  <si>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</si>
  <si>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</si>
  <si>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</si>
  <si>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</si>
  <si>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</si>
  <si>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</si>
  <si>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</si>
  <si>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</si>
  <si>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</si>
  <si>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</si>
  <si>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</si>
  <si>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</si>
  <si>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</si>
  <si>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</si>
  <si>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</si>
  <si>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</si>
  <si>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</si>
  <si>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</si>
  <si>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</si>
  <si>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</si>
  <si>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</si>
  <si>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</si>
  <si>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</si>
  <si>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</si>
  <si>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</si>
  <si>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</si>
  <si>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</si>
  <si>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</si>
  <si>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</si>
  <si>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</si>
  <si>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</si>
  <si>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</si>
  <si>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</si>
  <si>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</si>
  <si>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</si>
  <si>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</si>
  <si>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</si>
  <si>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</si>
  <si>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</si>
  <si>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</si>
  <si>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</si>
  <si>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</si>
  <si>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</si>
  <si>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</si>
  <si>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</si>
  <si>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</si>
  <si>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</si>
  <si>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</si>
  <si>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</si>
  <si>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</si>
  <si>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</si>
  <si>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</si>
  <si>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</si>
  <si>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</si>
  <si>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</si>
  <si>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</si>
  <si>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</si>
  <si>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</si>
  <si>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</si>
  <si>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</si>
  <si>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</si>
  <si>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</si>
  <si>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</si>
  <si>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</si>
  <si>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</si>
  <si>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</si>
  <si>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</si>
  <si>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</si>
  <si>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</si>
  <si>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</si>
  <si>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</si>
  <si>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</si>
  <si>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</si>
  <si>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</si>
  <si>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</si>
  <si>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</si>
  <si>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</si>
  <si>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</si>
  <si>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</si>
  <si>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</si>
  <si>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</si>
  <si>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</si>
  <si>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</si>
  <si>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</si>
  <si>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</si>
  <si>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</si>
  <si>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</si>
  <si>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</si>
  <si>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</si>
  <si>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</si>
  <si>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</si>
  <si>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</si>
  <si>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</si>
  <si>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</si>
  <si>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</si>
  <si>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</si>
  <si>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</si>
  <si>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</si>
  <si>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</si>
  <si>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</si>
  <si>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</si>
  <si>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</si>
  <si>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</si>
  <si>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</si>
  <si>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</si>
  <si>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</si>
  <si>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</si>
  <si>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</si>
  <si>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</si>
  <si>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</si>
  <si>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</si>
  <si>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</si>
  <si>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</si>
  <si>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</si>
  <si>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</si>
  <si>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</si>
  <si>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</si>
  <si>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</si>
  <si>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</si>
  <si>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</si>
  <si>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</si>
  <si>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</si>
  <si>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</si>
  <si>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</si>
  <si>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</si>
  <si>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</si>
  <si>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</si>
  <si>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</si>
  <si>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</si>
  <si>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</si>
  <si>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</si>
  <si>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</si>
  <si>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</si>
  <si>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</si>
  <si>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</si>
  <si>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</si>
  <si>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</si>
  <si>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</si>
  <si>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</si>
  <si>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</si>
  <si>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</si>
  <si>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</si>
  <si>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</si>
  <si>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</si>
  <si>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</si>
  <si>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</si>
  <si>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</si>
  <si>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</si>
  <si>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</si>
  <si>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</si>
  <si>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</si>
  <si>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</si>
  <si>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</si>
  <si>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</si>
  <si>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</si>
  <si>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</si>
  <si>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</si>
  <si>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</si>
  <si>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</si>
  <si>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</si>
  <si>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</si>
  <si>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</si>
  <si>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</si>
  <si>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</si>
  <si>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</si>
  <si>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</si>
  <si>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</si>
  <si>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</si>
  <si>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</si>
  <si>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</si>
  <si>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</si>
  <si>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</si>
  <si>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</si>
  <si>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</si>
  <si>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</si>
  <si>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</si>
  <si>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</si>
  <si>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</si>
  <si>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</si>
  <si>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</si>
  <si>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</si>
  <si>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</si>
  <si>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</si>
  <si>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</si>
  <si>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</si>
  <si>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</si>
  <si>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</si>
  <si>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</si>
  <si>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</si>
  <si>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</si>
  <si>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</si>
  <si>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</si>
  <si>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</si>
  <si>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</si>
  <si>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</si>
  <si>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</si>
  <si>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</si>
  <si>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</si>
  <si>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</si>
  <si>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</si>
  <si>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</si>
  <si>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</si>
  <si>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</si>
  <si>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</si>
  <si>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</si>
  <si>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</si>
  <si>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</si>
  <si>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</si>
  <si>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</si>
  <si>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</si>
  <si>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</si>
  <si>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</si>
  <si>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</si>
  <si>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</si>
  <si>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</si>
  <si>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</si>
  <si>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</si>
  <si>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</si>
  <si>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</si>
  <si>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</si>
  <si>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</si>
  <si>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</si>
  <si>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</si>
  <si>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</si>
  <si>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</si>
  <si>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</si>
  <si>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</si>
  <si>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</si>
  <si>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</si>
  <si>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</si>
  <si>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</si>
  <si>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</si>
  <si>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</si>
  <si>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</si>
  <si>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</si>
  <si>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</si>
  <si>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</si>
  <si>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</si>
  <si>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</si>
  <si>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</si>
  <si>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</si>
  <si>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</si>
  <si>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</si>
  <si>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</si>
  <si>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</si>
  <si>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</si>
  <si>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</si>
  <si>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</si>
  <si>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</si>
  <si>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</si>
  <si>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</si>
  <si>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</si>
  <si>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</si>
  <si>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</si>
  <si>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</si>
  <si>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</si>
  <si>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</si>
  <si>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</si>
  <si>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</si>
  <si>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</si>
  <si>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</si>
  <si>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</si>
  <si>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</si>
  <si>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</si>
  <si>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</si>
  <si>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</si>
  <si>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</si>
  <si>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</si>
  <si>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</si>
  <si>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</si>
  <si>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</si>
  <si>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</si>
  <si>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</si>
  <si>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</si>
  <si>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</si>
  <si>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</si>
  <si>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</si>
  <si>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</si>
  <si>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</si>
  <si>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</si>
  <si>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</si>
  <si>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</si>
  <si>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</si>
  <si>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</si>
  <si>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</si>
  <si>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</si>
  <si>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</si>
  <si>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</si>
  <si>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</si>
  <si>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</si>
  <si>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</si>
  <si>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</si>
  <si>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</si>
  <si>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</si>
  <si>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</si>
  <si>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</si>
  <si>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</si>
  <si>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</si>
  <si>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</si>
  <si>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</si>
  <si>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</si>
  <si>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</si>
  <si>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</si>
  <si>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</si>
  <si>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</si>
  <si>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</si>
  <si>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</si>
  <si>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</si>
  <si>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</si>
  <si>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</si>
  <si>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</si>
  <si>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</si>
  <si>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</si>
  <si>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</si>
  <si>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</si>
  <si>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</si>
  <si>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</si>
  <si>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</si>
  <si>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</si>
  <si>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</si>
  <si>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</si>
  <si>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</si>
  <si>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</si>
  <si>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</si>
  <si>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</si>
  <si>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</si>
  <si>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</si>
  <si>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</si>
  <si>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</si>
  <si>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</si>
  <si>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</si>
  <si>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</si>
  <si>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</si>
  <si>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</si>
  <si>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</si>
  <si>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</si>
  <si>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</si>
  <si>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</si>
  <si>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</si>
  <si>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</si>
  <si>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</si>
  <si>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</si>
  <si>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</si>
  <si>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</si>
  <si>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</si>
  <si>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</si>
  <si>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</si>
  <si>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</si>
  <si>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</si>
  <si>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</si>
  <si>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</si>
  <si>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</si>
  <si>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</si>
  <si>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</si>
  <si>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</si>
  <si>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</si>
  <si>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</si>
  <si>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</si>
  <si>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</si>
  <si>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</si>
  <si>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</si>
  <si>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</si>
  <si>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</si>
  <si>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</si>
  <si>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</si>
  <si>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</si>
  <si>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</si>
  <si>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</si>
  <si>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</si>
  <si>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</si>
  <si>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</si>
  <si>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</si>
  <si>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</si>
  <si>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</si>
  <si>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</si>
  <si>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</si>
  <si>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</si>
  <si>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</si>
  <si>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</si>
  <si>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</si>
  <si>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</si>
  <si>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</si>
  <si>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</si>
  <si>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</si>
  <si>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</si>
  <si>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</si>
  <si>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</si>
  <si>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</si>
  <si>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</si>
  <si>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</si>
  <si>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</si>
  <si>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</si>
  <si>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</si>
  <si>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</si>
  <si>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</si>
  <si>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</si>
  <si>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</si>
  <si>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</si>
  <si>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</si>
  <si>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</si>
  <si>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</si>
  <si>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</si>
  <si>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</si>
  <si>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</si>
  <si>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</si>
  <si>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</si>
  <si>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</si>
  <si>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</si>
  <si>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</si>
  <si>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</si>
  <si>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</si>
  <si>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</si>
  <si>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</si>
  <si>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</si>
  <si>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</si>
  <si>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</si>
  <si>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</si>
  <si>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</si>
  <si>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</si>
  <si>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</si>
  <si>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</si>
  <si>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</si>
  <si>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</si>
  <si>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</si>
  <si>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</si>
  <si>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</si>
  <si>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</si>
  <si>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</si>
  <si>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</si>
  <si>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</si>
  <si>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</si>
  <si>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</si>
  <si>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</si>
  <si>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</si>
  <si>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</si>
  <si>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</si>
  <si>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</si>
  <si>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</si>
  <si>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</si>
  <si>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</si>
  <si>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</si>
  <si>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</si>
  <si>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</si>
  <si>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</si>
  <si>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</si>
  <si>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</si>
  <si>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</si>
  <si>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</si>
  <si>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</si>
  <si>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</si>
  <si>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</si>
  <si>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</si>
  <si>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</si>
  <si>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</si>
  <si>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</si>
  <si>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</si>
  <si>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</si>
  <si>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</si>
  <si>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</si>
  <si>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</si>
  <si>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</si>
  <si>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</si>
  <si>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</si>
  <si>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</si>
  <si>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</si>
  <si>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</si>
  <si>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</si>
  <si>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</si>
  <si>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</si>
  <si>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</si>
  <si>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</si>
  <si>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</si>
  <si>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</si>
  <si>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</si>
  <si>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</si>
  <si>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</si>
  <si>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</si>
  <si>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</si>
  <si>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</si>
  <si>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</si>
  <si>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</si>
  <si>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</si>
  <si>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</si>
  <si>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</si>
  <si>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</si>
  <si>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</si>
  <si>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</si>
  <si>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</si>
  <si>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</si>
  <si>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</si>
  <si>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</si>
  <si>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</si>
  <si>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</si>
  <si>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</si>
  <si>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</si>
  <si>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</si>
  <si>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</si>
  <si>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</si>
  <si>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</si>
  <si>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</si>
  <si>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</si>
  <si>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</si>
  <si>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</si>
  <si>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</si>
  <si>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</si>
  <si>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</si>
  <si>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</si>
  <si>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</si>
  <si>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</si>
  <si>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</si>
  <si>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</si>
  <si>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</si>
  <si>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</si>
  <si>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</si>
  <si>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</si>
  <si>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</si>
  <si>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</si>
  <si>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</si>
  <si>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</si>
  <si>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</si>
  <si>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</si>
  <si>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</si>
  <si>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</si>
  <si>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</si>
  <si>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</si>
  <si>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</si>
  <si>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</si>
  <si>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</si>
  <si>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</si>
  <si>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</si>
  <si>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</si>
  <si>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</si>
  <si>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</si>
  <si>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</si>
  <si>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</si>
  <si>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</si>
  <si>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</si>
  <si>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</si>
  <si>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</si>
  <si>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</si>
  <si>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</si>
  <si>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</si>
  <si>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</si>
  <si>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</si>
  <si>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</si>
  <si>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</si>
  <si>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</si>
  <si>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</si>
  <si>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</si>
  <si>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</si>
  <si>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</si>
  <si>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</si>
  <si>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</si>
  <si>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</si>
  <si>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</si>
  <si>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</si>
  <si>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</si>
  <si>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</si>
  <si>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</si>
  <si>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</si>
  <si>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</si>
  <si>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</si>
  <si>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</si>
  <si>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</si>
  <si>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</si>
  <si>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</si>
  <si>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</si>
  <si>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</si>
  <si>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</si>
  <si>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</si>
  <si>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</si>
  <si>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</si>
  <si>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</si>
  <si>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</si>
  <si>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</si>
  <si>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</si>
  <si>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</si>
  <si>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</si>
  <si>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</si>
  <si>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</si>
  <si>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</si>
  <si>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</si>
  <si>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</si>
  <si>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</si>
  <si>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</si>
  <si>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</si>
  <si>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</si>
  <si>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</si>
  <si>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</si>
  <si>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</si>
  <si>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</si>
  <si>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</si>
  <si>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</si>
  <si>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</si>
  <si>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</si>
  <si>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</si>
  <si>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</si>
  <si>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</si>
  <si>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</si>
  <si>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</si>
  <si>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</si>
  <si>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</si>
  <si>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</si>
  <si>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</si>
  <si>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</si>
  <si>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</si>
  <si>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</si>
  <si>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</si>
  <si>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</si>
  <si>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</si>
  <si>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</si>
  <si>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</si>
  <si>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</si>
  <si>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</si>
  <si>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</si>
  <si>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</si>
  <si>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</si>
  <si>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</si>
  <si>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</si>
  <si>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</si>
  <si>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</si>
  <si>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</si>
  <si>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</si>
  <si>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</si>
  <si>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</si>
  <si>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</si>
  <si>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</si>
  <si>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</si>
  <si>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</si>
  <si>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</si>
  <si>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</si>
  <si>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</si>
  <si>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</si>
  <si>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</si>
  <si>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</si>
  <si>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</si>
  <si>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</si>
  <si>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</si>
  <si>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</si>
  <si>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</si>
  <si>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</si>
  <si>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</si>
  <si>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</si>
  <si>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</si>
  <si>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</si>
  <si>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</si>
  <si>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</si>
  <si>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</si>
  <si>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</si>
  <si>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</si>
  <si>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</si>
  <si>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</si>
  <si>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</si>
  <si>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</si>
  <si>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</si>
  <si>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</si>
  <si>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</si>
  <si>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</si>
  <si>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</si>
  <si>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</si>
  <si>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</si>
  <si>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</si>
  <si>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</si>
  <si>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</si>
  <si>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</si>
  <si>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</si>
  <si>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</si>
  <si>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</si>
  <si>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</si>
  <si>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</si>
  <si>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</si>
  <si>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</si>
  <si>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</si>
  <si>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</si>
  <si>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</si>
  <si>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</si>
  <si>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</si>
  <si>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</si>
  <si>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</si>
  <si>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</si>
  <si>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</si>
  <si>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</si>
  <si>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</si>
  <si>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</si>
  <si>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</si>
  <si>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</si>
  <si>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</si>
  <si>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</si>
  <si>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</si>
  <si>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</si>
  <si>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</si>
  <si>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</si>
  <si>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</si>
  <si>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</si>
  <si>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</si>
  <si>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</si>
  <si>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</si>
  <si>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</si>
  <si>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</si>
  <si>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</si>
  <si>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</si>
  <si>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</si>
  <si>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</si>
  <si>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</si>
  <si>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</si>
  <si>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</si>
  <si>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</si>
  <si>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</si>
  <si>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</si>
  <si>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</si>
  <si>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</si>
  <si>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</si>
  <si>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</si>
  <si>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</si>
  <si>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</si>
  <si>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</si>
  <si>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</si>
  <si>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</si>
  <si>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</si>
  <si>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</si>
  <si>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</si>
  <si>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</si>
  <si>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</si>
  <si>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</si>
  <si>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</si>
  <si>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</si>
  <si>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</si>
  <si>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</si>
  <si>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</si>
  <si>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</si>
  <si>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</si>
  <si>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</si>
  <si>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</si>
  <si>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</si>
  <si>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</si>
  <si>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</si>
  <si>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</si>
  <si>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</si>
  <si>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</si>
  <si>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</si>
  <si>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</si>
  <si>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</si>
  <si>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</si>
  <si>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</si>
  <si>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</si>
  <si>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</si>
  <si>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</si>
  <si>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</si>
  <si>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</si>
  <si>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</si>
  <si>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</si>
  <si>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</si>
  <si>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</si>
  <si>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</si>
  <si>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</si>
  <si>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</si>
  <si>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</si>
  <si>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</si>
  <si>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</si>
  <si>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</si>
  <si>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</si>
  <si>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</si>
  <si>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</si>
  <si>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</si>
  <si>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</si>
  <si>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</si>
  <si>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</si>
  <si>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</si>
  <si>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</si>
  <si>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</si>
  <si>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</si>
  <si>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</si>
  <si>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</si>
  <si>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</si>
  <si>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</si>
  <si>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</si>
  <si>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</si>
  <si>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</si>
  <si>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</si>
  <si>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</si>
  <si>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</si>
  <si>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</si>
  <si>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</si>
  <si>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</si>
  <si>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</si>
  <si>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</si>
  <si>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</si>
  <si>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</si>
  <si>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</si>
  <si>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</si>
  <si>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</si>
  <si>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</si>
  <si>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</si>
  <si>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</si>
  <si>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</si>
  <si>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</si>
  <si>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</si>
  <si>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</si>
  <si>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</si>
  <si>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</si>
  <si>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</si>
  <si>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</si>
  <si>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</si>
  <si>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</si>
  <si>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</si>
  <si>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</si>
  <si>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</si>
  <si>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</si>
  <si>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</si>
  <si>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</si>
  <si>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</si>
  <si>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</si>
  <si>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</si>
  <si>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</si>
  <si>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</si>
  <si>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</si>
  <si>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</si>
  <si>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</si>
  <si>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</si>
  <si>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</si>
  <si>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</si>
  <si>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</si>
  <si>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</si>
  <si>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</si>
  <si>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</si>
  <si>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</si>
  <si>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</si>
  <si>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</si>
  <si>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</si>
  <si>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</si>
  <si>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</si>
  <si>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</si>
  <si>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</si>
  <si>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</si>
  <si>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</si>
  <si>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</si>
  <si>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</si>
  <si>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</si>
  <si>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</si>
  <si>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</si>
  <si>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</si>
  <si>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</si>
  <si>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</si>
  <si>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</si>
  <si>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</si>
  <si>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</si>
  <si>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</si>
  <si>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</si>
  <si>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</si>
  <si>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</si>
  <si>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</si>
  <si>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</si>
  <si>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</si>
  <si>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</si>
  <si>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</si>
  <si>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</si>
  <si>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</si>
  <si>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</si>
  <si>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</si>
  <si>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</si>
  <si>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</si>
  <si>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</si>
  <si>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</si>
  <si>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</si>
  <si>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</si>
  <si>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</si>
  <si>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</si>
  <si>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</si>
  <si>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</si>
  <si>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</si>
  <si>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</si>
  <si>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</si>
  <si>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</si>
  <si>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</si>
  <si>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</si>
  <si>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</si>
  <si>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</si>
  <si>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</si>
  <si>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</si>
  <si>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</si>
  <si>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</si>
  <si>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</si>
  <si>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</si>
  <si>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</si>
  <si>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</si>
  <si>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</si>
  <si>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</si>
  <si>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</si>
  <si>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</si>
  <si>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</si>
  <si>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</si>
  <si>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</si>
  <si>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</si>
  <si>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</si>
  <si>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</si>
  <si>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</si>
  <si>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</si>
  <si>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</si>
  <si>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</si>
  <si>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</si>
  <si>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</si>
  <si>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</si>
  <si>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</si>
  <si>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</si>
  <si>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</si>
  <si>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</si>
  <si>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</si>
  <si>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</si>
  <si>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</si>
  <si>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</si>
  <si>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</si>
  <si>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</si>
  <si>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</si>
  <si>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</si>
  <si>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</si>
  <si>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</si>
  <si>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</si>
  <si>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</si>
  <si>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</si>
  <si>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</si>
  <si>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</si>
  <si>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</si>
  <si>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</si>
  <si>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</si>
  <si>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</si>
  <si>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</si>
  <si>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</si>
  <si>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</si>
  <si>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</si>
  <si>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</si>
  <si>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</si>
  <si>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</si>
  <si>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</si>
  <si>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</si>
  <si>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</si>
  <si>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</si>
  <si>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</si>
  <si>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</si>
  <si>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</si>
  <si>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</si>
  <si>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</si>
  <si>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</si>
  <si>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</si>
  <si>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</si>
  <si>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</si>
  <si>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</si>
  <si>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</si>
  <si>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</si>
  <si>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</si>
  <si>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</si>
  <si>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</si>
  <si>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</si>
  <si>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</si>
  <si>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</si>
  <si>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</si>
  <si>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</si>
  <si>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</si>
  <si>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</si>
  <si>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</si>
  <si>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</si>
  <si>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</si>
  <si>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</si>
  <si>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</si>
  <si>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</si>
  <si>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</si>
  <si>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</si>
  <si>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</si>
  <si>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</si>
  <si>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</si>
  <si>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</si>
  <si>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</si>
  <si>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</si>
  <si>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</si>
  <si>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</si>
  <si>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</si>
  <si>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</si>
  <si>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</si>
  <si>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</si>
  <si>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</si>
  <si>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</si>
  <si>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</si>
  <si>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</si>
  <si>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</si>
  <si>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</si>
  <si>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</si>
  <si>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</si>
  <si>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</si>
  <si>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</si>
  <si>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</si>
  <si>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</si>
  <si>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</si>
  <si>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</si>
  <si>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</si>
  <si>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</si>
  <si>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</si>
  <si>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</si>
  <si>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</si>
  <si>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</si>
  <si>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</si>
  <si>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</si>
  <si>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</si>
  <si>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</si>
  <si>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</si>
  <si>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</si>
  <si>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</si>
  <si>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</si>
  <si>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</si>
  <si>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</si>
  <si>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</si>
  <si>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</si>
  <si>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</si>
  <si>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</si>
  <si>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</si>
  <si>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</si>
  <si>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</si>
  <si>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</si>
  <si>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</si>
  <si>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</si>
  <si>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</si>
  <si>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</si>
  <si>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</si>
  <si>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</si>
  <si>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</si>
  <si>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</si>
  <si>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</si>
  <si>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</si>
  <si>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</si>
  <si>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</si>
  <si>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</si>
  <si>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</si>
  <si>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</si>
  <si>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</si>
  <si>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</si>
  <si>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</si>
  <si>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</si>
  <si>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</si>
  <si>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</si>
  <si>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</si>
  <si>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</si>
  <si>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</si>
  <si>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</si>
  <si>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</si>
  <si>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</si>
  <si>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</si>
  <si>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</si>
  <si>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</si>
  <si>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</si>
  <si>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</si>
  <si>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</si>
  <si>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</si>
  <si>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</si>
  <si>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</si>
  <si>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</si>
  <si>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</si>
  <si>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</si>
  <si>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</si>
  <si>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</si>
  <si>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</si>
  <si>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</si>
  <si>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</si>
  <si>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</si>
  <si>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</si>
  <si>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</si>
  <si>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</si>
  <si>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</si>
  <si>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</si>
  <si>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</si>
  <si>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</si>
  <si>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</si>
  <si>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</si>
  <si>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</si>
  <si>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</si>
  <si>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</si>
  <si>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</si>
  <si>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</si>
  <si>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</si>
  <si>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</si>
  <si>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</si>
  <si>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</si>
  <si>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</si>
  <si>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</si>
  <si>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</si>
  <si>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</si>
  <si>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</si>
  <si>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</si>
  <si>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</si>
  <si>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</si>
  <si>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</si>
  <si>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</si>
  <si>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</si>
  <si>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</si>
  <si>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</si>
  <si>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</si>
  <si>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</si>
  <si>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</si>
  <si>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</si>
  <si>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</si>
  <si>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</si>
  <si>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</si>
  <si>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</si>
  <si>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</si>
  <si>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</si>
  <si>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</si>
  <si>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</si>
  <si>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</si>
  <si>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</si>
  <si>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</si>
  <si>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</si>
  <si>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</si>
  <si>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</si>
  <si>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</si>
  <si>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</si>
  <si>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</si>
  <si>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</si>
  <si>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</si>
  <si>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</si>
  <si>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</si>
  <si>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</si>
  <si>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</si>
  <si>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</si>
  <si>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</si>
  <si>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</si>
  <si>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</si>
  <si>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</si>
  <si>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</si>
  <si>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</si>
  <si>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</si>
  <si>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</si>
  <si>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</si>
  <si>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</si>
  <si>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</si>
  <si>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</si>
  <si>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</si>
  <si>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</si>
  <si>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</si>
  <si>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</si>
  <si>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</si>
  <si>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</si>
  <si>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</si>
  <si>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</si>
  <si>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</si>
  <si>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</si>
  <si>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</si>
  <si>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</si>
  <si>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</si>
  <si>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</si>
  <si>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</si>
  <si>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</si>
  <si>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</si>
  <si>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</si>
  <si>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</si>
  <si>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</si>
  <si>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</si>
  <si>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</si>
  <si>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</si>
  <si>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</si>
  <si>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</si>
  <si>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</si>
  <si>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</si>
  <si>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</si>
  <si>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</si>
  <si>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</si>
  <si>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</si>
  <si>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</si>
  <si>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</si>
  <si>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</si>
  <si>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</si>
  <si>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</si>
  <si>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</si>
  <si>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</si>
  <si>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</si>
  <si>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</si>
  <si>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</si>
  <si>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</si>
  <si>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</si>
  <si>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</si>
  <si>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</si>
  <si>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</si>
  <si>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</si>
  <si>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</si>
  <si>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</si>
  <si>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</si>
  <si>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</si>
  <si>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</si>
  <si>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</si>
  <si>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</si>
  <si>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</si>
  <si>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</si>
  <si>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</si>
  <si>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</si>
  <si>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</si>
  <si>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</si>
  <si>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</si>
  <si>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</si>
  <si>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</si>
  <si>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</si>
  <si>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</si>
  <si>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</si>
  <si>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</si>
  <si>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</si>
  <si>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</si>
  <si>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</si>
  <si>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</si>
  <si>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</si>
  <si>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</si>
  <si>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</si>
  <si>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</si>
  <si>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</si>
  <si>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</si>
  <si>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</si>
  <si>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</si>
  <si>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</si>
  <si>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</si>
  <si>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</si>
  <si>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</si>
  <si>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</si>
  <si>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</si>
  <si>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</si>
  <si>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</si>
  <si>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</si>
  <si>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</si>
  <si>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</si>
  <si>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</si>
  <si>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</si>
  <si>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</si>
  <si>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</si>
  <si>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</si>
  <si>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</si>
  <si>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</si>
  <si>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</si>
  <si>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</si>
  <si>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</si>
  <si>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</si>
  <si>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</si>
  <si>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</si>
  <si>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</si>
  <si>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</si>
  <si>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</si>
  <si>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</si>
  <si>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</si>
  <si>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</si>
  <si>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</si>
  <si>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</si>
  <si>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</si>
  <si>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</si>
  <si>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</si>
  <si>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</si>
  <si>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</si>
  <si>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</si>
  <si>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</si>
  <si>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</si>
  <si>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</si>
  <si>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</si>
  <si>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</si>
  <si>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</si>
  <si>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</si>
  <si>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</si>
  <si>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</si>
  <si>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</si>
  <si>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</si>
  <si>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</si>
  <si>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</si>
  <si>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</si>
  <si>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</si>
  <si>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</si>
  <si>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</si>
  <si>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</si>
  <si>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</si>
  <si>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</si>
  <si>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</si>
  <si>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</si>
  <si>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</si>
  <si>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</si>
  <si>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</si>
  <si>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</si>
  <si>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</si>
  <si>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</si>
  <si>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</si>
  <si>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</si>
  <si>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</si>
  <si>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</si>
  <si>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</si>
  <si>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</si>
  <si>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</si>
  <si>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</si>
  <si>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</si>
  <si>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</si>
  <si>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</si>
  <si>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</si>
  <si>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</si>
  <si>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</si>
  <si>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</si>
  <si>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</si>
  <si>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</si>
  <si>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</si>
  <si>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</si>
  <si>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</si>
  <si>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</si>
  <si>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</si>
  <si>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</si>
  <si>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</si>
  <si>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</si>
  <si>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</si>
  <si>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</si>
  <si>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</si>
  <si>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</si>
  <si>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</si>
  <si>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</si>
  <si>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</si>
  <si>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</si>
  <si>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</si>
  <si>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</si>
  <si>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</si>
  <si>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</si>
  <si>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</si>
  <si>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</si>
  <si>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</si>
  <si>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</si>
  <si>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</si>
  <si>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</si>
  <si>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</si>
  <si>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</si>
  <si>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</si>
  <si>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</si>
  <si>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</si>
  <si>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</si>
  <si>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</si>
  <si>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</si>
  <si>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</si>
  <si>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</si>
  <si>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</si>
  <si>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</si>
  <si>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</si>
  <si>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</si>
  <si>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</si>
  <si>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</si>
  <si>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</si>
  <si>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</si>
  <si>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</si>
  <si>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</si>
  <si>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</si>
  <si>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</si>
  <si>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</si>
  <si>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</si>
  <si>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</si>
  <si>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</si>
  <si>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</si>
  <si>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</si>
  <si>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</si>
  <si>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</si>
  <si>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</si>
  <si>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</si>
  <si>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</si>
  <si>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</si>
  <si>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</si>
  <si>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</si>
  <si>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</si>
  <si>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</si>
  <si>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</si>
  <si>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</si>
  <si>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</si>
  <si>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</si>
  <si>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</si>
  <si>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</si>
  <si>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</si>
  <si>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</si>
  <si>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</si>
  <si>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</si>
  <si>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</si>
  <si>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</si>
  <si>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</si>
  <si>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</si>
  <si>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</si>
  <si>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</si>
  <si>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</si>
  <si>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</si>
  <si>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</si>
  <si>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</si>
  <si>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</si>
  <si>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</si>
  <si>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</si>
  <si>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</si>
  <si>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</si>
  <si>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</si>
  <si>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</si>
  <si>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</si>
  <si>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</si>
  <si>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</si>
  <si>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</si>
  <si>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</si>
  <si>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</si>
  <si>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</si>
  <si>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</si>
  <si>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</si>
  <si>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</si>
  <si>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</si>
  <si>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</si>
  <si>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</si>
  <si>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</si>
  <si>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</si>
  <si>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</si>
  <si>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</si>
  <si>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</si>
  <si>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</si>
  <si>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</si>
  <si>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</si>
  <si>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</si>
  <si>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</si>
  <si>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</si>
  <si>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</si>
  <si>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</si>
  <si>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</si>
  <si>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</si>
  <si>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</si>
  <si>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</si>
  <si>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</si>
  <si>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</si>
  <si>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</si>
  <si>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</si>
  <si>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</si>
  <si>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</si>
  <si>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</si>
  <si>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</si>
  <si>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</si>
  <si>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</si>
  <si>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</si>
  <si>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</si>
  <si>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</si>
  <si>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</si>
  <si>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</si>
  <si>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</si>
  <si>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</si>
  <si>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</si>
  <si>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</si>
  <si>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</si>
  <si>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</si>
  <si>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</si>
  <si>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</si>
  <si>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</si>
  <si>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</si>
  <si>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</si>
  <si>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</si>
  <si>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</si>
  <si>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</si>
  <si>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</si>
  <si>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</si>
  <si>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</si>
  <si>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</si>
  <si>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</si>
  <si>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</si>
  <si>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</si>
  <si>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</si>
  <si>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</si>
  <si>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</si>
  <si>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</si>
  <si>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</si>
  <si>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</si>
  <si>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</si>
  <si>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</si>
  <si>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</si>
  <si>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</si>
  <si>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</si>
  <si>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</si>
  <si>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</si>
  <si>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</si>
  <si>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</si>
  <si>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</si>
  <si>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</si>
  <si>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</si>
  <si>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</si>
  <si>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</si>
  <si>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</si>
  <si>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</si>
  <si>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</si>
  <si>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</si>
  <si>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</si>
  <si>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</si>
  <si>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</si>
  <si>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</si>
  <si>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</si>
  <si>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</si>
  <si>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</si>
  <si>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</si>
  <si>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</si>
  <si>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</si>
  <si>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</si>
  <si>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</si>
  <si>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</si>
  <si>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</si>
  <si>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</si>
  <si>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</si>
  <si>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</si>
  <si>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</si>
  <si>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</si>
  <si>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</si>
  <si>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</si>
  <si>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</si>
  <si>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</si>
  <si>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</si>
  <si>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</si>
  <si>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</si>
  <si>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</si>
  <si>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</si>
  <si>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</si>
  <si>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</si>
  <si>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</si>
  <si>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</si>
  <si>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</si>
  <si>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</si>
  <si>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</si>
  <si>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</si>
  <si>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</si>
  <si>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</si>
  <si>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</si>
  <si>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</si>
  <si>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</si>
  <si>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</si>
  <si>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</si>
  <si>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</si>
  <si>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</si>
  <si>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</si>
  <si>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</si>
  <si>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</si>
  <si>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</si>
  <si>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</si>
  <si>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</si>
  <si>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</si>
  <si>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</si>
  <si>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</si>
  <si>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</si>
  <si>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</si>
  <si>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</si>
  <si>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</si>
  <si>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</si>
  <si>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</si>
  <si>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</si>
  <si>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</si>
  <si>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</si>
  <si>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</si>
  <si>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</si>
  <si>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</si>
  <si>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</si>
  <si>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</si>
  <si>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</si>
  <si>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</si>
  <si>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</si>
  <si>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</si>
  <si>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</si>
  <si>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</si>
  <si>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</si>
  <si>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</si>
  <si>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</si>
  <si>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</si>
  <si>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</si>
  <si>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</si>
  <si>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</si>
  <si>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</si>
  <si>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</si>
  <si>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</si>
  <si>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</si>
  <si>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</si>
  <si>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</si>
  <si>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</si>
  <si>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</si>
  <si>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</si>
  <si>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</si>
  <si>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</si>
  <si>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</si>
  <si>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</si>
  <si>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</si>
  <si>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</si>
  <si>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</si>
  <si>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</si>
  <si>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</si>
  <si>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</si>
  <si>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</si>
  <si>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</si>
  <si>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</si>
  <si>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</si>
  <si>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</si>
  <si>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</si>
  <si>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</si>
  <si>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</si>
  <si>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</si>
  <si>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</si>
  <si>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</si>
  <si>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</si>
  <si>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</si>
  <si>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</si>
  <si>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</si>
  <si>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</si>
  <si>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</si>
  <si>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</si>
  <si>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</si>
  <si>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</si>
  <si>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</si>
  <si>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</si>
  <si>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</si>
  <si>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</si>
  <si>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</si>
  <si>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</si>
  <si>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</si>
  <si>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</si>
  <si>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</si>
  <si>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</si>
  <si>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</si>
  <si>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</si>
  <si>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</si>
  <si>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</si>
  <si>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</si>
  <si>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</si>
  <si>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</si>
  <si>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</si>
  <si>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</si>
  <si>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</si>
  <si>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</si>
  <si>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</si>
  <si>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</si>
  <si>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</si>
  <si>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</si>
  <si>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</si>
  <si>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</si>
  <si>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</si>
  <si>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</si>
  <si>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</si>
  <si>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</si>
  <si>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</si>
  <si>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</si>
  <si>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</si>
  <si>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</si>
  <si>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</si>
  <si>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</si>
  <si>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</si>
  <si>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</si>
  <si>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</si>
  <si>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</si>
  <si>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</si>
  <si>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</si>
  <si>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</si>
  <si>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</si>
  <si>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</si>
  <si>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</si>
  <si>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</si>
  <si>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</si>
  <si>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</si>
  <si>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</si>
  <si>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</si>
  <si>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</si>
  <si>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</si>
  <si>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</si>
  <si>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</si>
  <si>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</si>
  <si>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</si>
  <si>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</si>
  <si>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</si>
  <si>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</si>
  <si>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</si>
  <si>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</si>
  <si>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</si>
  <si>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</si>
  <si>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</si>
  <si>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</si>
  <si>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</si>
  <si>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</si>
  <si>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</si>
  <si>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</si>
  <si>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</si>
  <si>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</si>
  <si>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</si>
  <si>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</si>
  <si>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</si>
  <si>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</si>
  <si>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</si>
  <si>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</si>
  <si>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</si>
  <si>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</si>
  <si>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</si>
  <si>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</si>
  <si>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</si>
  <si>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</si>
  <si>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</si>
  <si>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</si>
  <si>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</si>
  <si>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</si>
  <si>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</si>
  <si>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</si>
  <si>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</si>
  <si>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</si>
  <si>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</si>
  <si>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</si>
  <si>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</si>
  <si>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</si>
  <si>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</si>
  <si>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</si>
  <si>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</si>
  <si>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</si>
  <si>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</si>
  <si>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</si>
  <si>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</si>
  <si>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</si>
  <si>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</si>
  <si>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</si>
  <si>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</si>
  <si>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</si>
  <si>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</si>
  <si>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</si>
  <si>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</si>
  <si>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</si>
  <si>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</si>
  <si>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</si>
  <si>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</si>
  <si>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</si>
  <si>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</si>
  <si>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</si>
  <si>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</si>
  <si>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</si>
  <si>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</si>
  <si>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</si>
  <si>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</si>
  <si>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</si>
  <si>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</si>
  <si>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</si>
  <si>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</si>
  <si>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</si>
  <si>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</si>
  <si>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</si>
  <si>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</si>
  <si>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</si>
  <si>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</si>
  <si>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</si>
  <si>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</si>
  <si>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</si>
  <si>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</si>
  <si>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</si>
  <si>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</si>
  <si>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</si>
  <si>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</si>
  <si>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</si>
  <si>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</si>
  <si>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</si>
  <si>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</si>
  <si>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</si>
  <si>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</si>
  <si>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</si>
  <si>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</si>
  <si>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</si>
  <si>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</si>
  <si>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</si>
  <si>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</si>
  <si>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</si>
  <si>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</si>
  <si>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</si>
  <si>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</si>
  <si>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</si>
  <si>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</si>
  <si>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</si>
  <si>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</si>
  <si>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</si>
  <si>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</si>
  <si>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</si>
  <si>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</si>
  <si>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</si>
  <si>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</si>
  <si>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</si>
  <si>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</si>
  <si>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</si>
  <si>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</si>
  <si>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</si>
  <si>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</si>
  <si>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</si>
  <si>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</si>
  <si>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</si>
  <si>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</si>
  <si>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</si>
  <si>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</si>
  <si>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</si>
  <si>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</si>
  <si>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</si>
  <si>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</si>
  <si>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</si>
  <si>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</si>
  <si>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</si>
  <si>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</si>
  <si>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</si>
  <si>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</si>
  <si>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</si>
  <si>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</si>
  <si>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</si>
  <si>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</si>
  <si>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</si>
  <si>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</si>
  <si>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</si>
  <si>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</si>
  <si>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</si>
  <si>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</si>
  <si>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</si>
  <si>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</si>
  <si>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</si>
  <si>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</si>
  <si>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</si>
  <si>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</si>
  <si>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</si>
  <si>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</si>
  <si>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</si>
  <si>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</si>
  <si>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</si>
  <si>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</si>
  <si>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</si>
  <si>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</si>
  <si>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</si>
  <si>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</si>
  <si>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</si>
  <si>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</si>
  <si>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</si>
  <si>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</si>
  <si>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</si>
  <si>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</si>
  <si>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</si>
  <si>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</si>
  <si>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</si>
  <si>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</si>
  <si>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</si>
  <si>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</si>
  <si>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</si>
  <si>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</si>
  <si>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</si>
  <si>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</si>
  <si>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</si>
  <si>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</si>
  <si>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</si>
  <si>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</si>
  <si>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</si>
  <si>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</si>
  <si>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</si>
  <si>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</si>
  <si>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</si>
  <si>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</si>
  <si>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</si>
  <si>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</si>
  <si>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</si>
  <si>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</si>
  <si>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</si>
  <si>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</si>
  <si>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</si>
  <si>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</si>
  <si>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</si>
  <si>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</si>
  <si>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</si>
  <si>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</si>
  <si>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</si>
  <si>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</si>
  <si>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</si>
  <si>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</si>
  <si>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</si>
  <si>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</si>
  <si>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</si>
  <si>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</si>
  <si>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</si>
  <si>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</si>
  <si>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</si>
  <si>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</si>
  <si>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</si>
  <si>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</si>
  <si>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</si>
  <si>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</si>
  <si>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</si>
  <si>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</si>
  <si>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</si>
  <si>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</si>
  <si>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</si>
  <si>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</si>
  <si>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</si>
  <si>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</si>
  <si>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</si>
  <si>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</si>
  <si>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</si>
  <si>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</si>
  <si>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</si>
  <si>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</si>
  <si>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</si>
  <si>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</si>
  <si>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</si>
  <si>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</si>
  <si>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</si>
  <si>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</si>
  <si>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</si>
  <si>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</si>
  <si>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</si>
  <si>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</si>
  <si>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</si>
  <si>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</si>
  <si>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</si>
  <si>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</si>
  <si>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</si>
  <si>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</si>
  <si>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</si>
  <si>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</si>
  <si>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</si>
  <si>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</si>
  <si>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</si>
  <si>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</si>
  <si>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</si>
  <si>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</si>
  <si>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</si>
  <si>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</si>
  <si>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</si>
  <si>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</si>
  <si>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</si>
  <si>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</si>
  <si>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</si>
  <si>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</si>
  <si>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</si>
  <si>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</si>
  <si>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</si>
  <si>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</si>
  <si>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</si>
  <si>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</si>
  <si>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</si>
  <si>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</si>
  <si>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</si>
  <si>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</si>
  <si>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</si>
  <si>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</si>
  <si>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</si>
  <si>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</si>
  <si>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</si>
  <si>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</si>
  <si>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</si>
  <si>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</si>
  <si>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</si>
  <si>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</si>
  <si>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</si>
  <si>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</si>
  <si>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</si>
  <si>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</si>
  <si>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</si>
  <si>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</si>
  <si>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</si>
  <si>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</si>
  <si>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</si>
  <si>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</si>
  <si>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</si>
  <si>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</si>
  <si>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</si>
  <si>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</si>
  <si>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</si>
  <si>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</si>
  <si>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</si>
  <si>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</si>
  <si>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</si>
  <si>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</si>
  <si>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</si>
  <si>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</si>
  <si>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</si>
  <si>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</si>
  <si>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</si>
  <si>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</si>
  <si>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</si>
  <si>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</si>
  <si>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</si>
  <si>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</si>
  <si>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</si>
  <si>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</si>
  <si>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</si>
  <si>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</si>
  <si>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</si>
  <si>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</si>
  <si>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</si>
  <si>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</si>
  <si>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</si>
  <si>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</si>
  <si>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</si>
  <si>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</si>
  <si>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</si>
  <si>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</si>
  <si>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</si>
  <si>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</si>
  <si>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</si>
  <si>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</si>
  <si>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</si>
  <si>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</si>
  <si>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</si>
  <si>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</si>
  <si>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</si>
  <si>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</si>
  <si>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</si>
  <si>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</si>
  <si>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</si>
  <si>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</si>
  <si>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</si>
  <si>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</si>
  <si>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</si>
  <si>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</si>
  <si>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</si>
  <si>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</si>
  <si>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</si>
  <si>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</si>
  <si>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</si>
  <si>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</si>
  <si>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</si>
  <si>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</si>
  <si>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</si>
  <si>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</si>
  <si>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</si>
  <si>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</si>
  <si>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</si>
  <si>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</si>
  <si>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</si>
  <si>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</si>
  <si>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</si>
  <si>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</si>
  <si>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</si>
  <si>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</si>
  <si>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</si>
  <si>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</si>
  <si>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</si>
  <si>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</si>
  <si>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</si>
  <si>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</si>
  <si>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</si>
  <si>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</si>
  <si>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</si>
  <si>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</si>
  <si>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</si>
  <si>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</si>
  <si>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</si>
  <si>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</si>
  <si>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</si>
  <si>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</si>
  <si>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</si>
  <si>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</si>
  <si>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</si>
  <si>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</si>
  <si>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</si>
  <si>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</si>
  <si>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</si>
  <si>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</si>
  <si>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</si>
  <si>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</si>
  <si>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</si>
  <si>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</si>
  <si>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</si>
  <si>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</si>
  <si>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</si>
  <si>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</si>
  <si>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</si>
  <si>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</si>
  <si>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</si>
  <si>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</si>
  <si>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</si>
  <si>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</si>
  <si>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</si>
  <si>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</si>
  <si>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</si>
  <si>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</si>
  <si>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</si>
  <si>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</si>
  <si>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</si>
  <si>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</si>
  <si>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</si>
  <si>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</si>
  <si>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</si>
  <si>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</si>
  <si>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</si>
  <si>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</si>
  <si>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</si>
  <si>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</si>
  <si>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</si>
  <si>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</si>
  <si>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</si>
  <si>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</si>
  <si>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</si>
  <si>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</si>
  <si>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</si>
  <si>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</si>
  <si>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</si>
  <si>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</si>
  <si>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</si>
  <si>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</si>
  <si>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</si>
  <si>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</si>
  <si>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</si>
  <si>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</si>
  <si>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</si>
  <si>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</si>
  <si>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</si>
  <si>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</si>
  <si>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</si>
  <si>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</si>
  <si>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</si>
  <si>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</si>
  <si>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</si>
  <si>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</si>
  <si>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</si>
  <si>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</si>
  <si>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</si>
  <si>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</si>
  <si>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</si>
  <si>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</si>
  <si>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</si>
  <si>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</si>
  <si>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</si>
  <si>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</si>
  <si>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</si>
  <si>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</si>
  <si>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</si>
  <si>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</si>
  <si>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</si>
  <si>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</si>
  <si>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</si>
  <si>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</si>
  <si>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</si>
  <si>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</si>
  <si>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</si>
  <si>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</si>
  <si>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</si>
  <si>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</si>
  <si>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</si>
  <si>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</si>
  <si>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</si>
  <si>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</si>
  <si>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</si>
  <si>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</si>
  <si>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</si>
  <si>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</si>
  <si>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</si>
  <si>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</si>
  <si>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</si>
  <si>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</si>
  <si>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</si>
  <si>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</si>
  <si>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</si>
  <si>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</si>
  <si>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</si>
  <si>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</si>
  <si>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</si>
  <si>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</si>
  <si>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</si>
  <si>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</si>
  <si>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</si>
  <si>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</si>
  <si>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</si>
  <si>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</si>
  <si>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</si>
  <si>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</si>
  <si>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</si>
  <si>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</si>
  <si>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</si>
  <si>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</si>
  <si>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</si>
  <si>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</si>
  <si>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</si>
  <si>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</si>
  <si>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</si>
  <si>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</si>
  <si>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</si>
  <si>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</si>
  <si>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</si>
  <si>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</si>
  <si>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</si>
  <si>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</si>
  <si>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</si>
  <si>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</si>
  <si>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</si>
  <si>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</si>
  <si>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</si>
  <si>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</si>
  <si>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</si>
  <si>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</si>
  <si>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</si>
  <si>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</si>
  <si>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</si>
  <si>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</si>
  <si>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</si>
  <si>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</si>
  <si>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</si>
  <si>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</si>
  <si>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</si>
  <si>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</si>
  <si>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</si>
  <si>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</si>
  <si>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</si>
  <si>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</si>
  <si>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</si>
  <si>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</si>
  <si>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</si>
  <si>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</si>
  <si>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</si>
  <si>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</si>
  <si>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</si>
  <si>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</si>
  <si>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</si>
  <si>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</si>
  <si>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</si>
  <si>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</si>
  <si>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</si>
  <si>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</si>
  <si>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</si>
  <si>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</si>
  <si>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</si>
  <si>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</si>
  <si>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</si>
  <si>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</si>
  <si>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</si>
  <si>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</si>
  <si>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</si>
  <si>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</si>
  <si>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</si>
  <si>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</si>
  <si>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</si>
  <si>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</si>
  <si>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</si>
  <si>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</si>
  <si>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</si>
  <si>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</si>
  <si>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</si>
  <si>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</si>
  <si>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</si>
  <si>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</si>
  <si>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</si>
  <si>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</si>
  <si>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</si>
  <si>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</si>
  <si>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</si>
  <si>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</si>
  <si>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</si>
  <si>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</si>
  <si>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</si>
  <si>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</si>
  <si>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</si>
  <si>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</si>
  <si>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</si>
  <si>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</si>
  <si>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</si>
  <si>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</si>
  <si>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</si>
  <si>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</si>
  <si>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</si>
  <si>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</si>
  <si>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</si>
  <si>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</si>
  <si>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</si>
  <si>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</si>
  <si>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</si>
  <si>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</si>
  <si>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</si>
  <si>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</si>
  <si>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</si>
  <si>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</si>
  <si>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</si>
  <si>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</si>
  <si>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</si>
  <si>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</si>
  <si>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</si>
  <si>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</si>
  <si>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</si>
  <si>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</si>
  <si>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</si>
  <si>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</si>
  <si>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</si>
  <si>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</si>
  <si>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</si>
  <si>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</si>
  <si>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</si>
  <si>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</si>
  <si>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</si>
  <si>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</si>
  <si>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</si>
  <si>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</si>
  <si>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</si>
  <si>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</si>
  <si>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</si>
  <si>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</si>
  <si>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</si>
  <si>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</si>
  <si>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</si>
  <si>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</si>
  <si>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</si>
  <si>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</si>
  <si>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</si>
  <si>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</si>
  <si>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</si>
  <si>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</si>
  <si>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</si>
  <si>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</si>
  <si>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</si>
  <si>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</si>
  <si>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</si>
  <si>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</si>
  <si>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</si>
  <si>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</si>
  <si>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</si>
  <si>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</si>
  <si>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</si>
  <si>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</si>
  <si>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</si>
  <si>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</si>
  <si>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</si>
  <si>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</si>
  <si>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</si>
  <si>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</si>
  <si>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</si>
  <si>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</si>
  <si>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</si>
  <si>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</si>
  <si>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</si>
  <si>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</si>
  <si>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</si>
  <si>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</si>
  <si>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</si>
  <si>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</si>
  <si>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</si>
  <si>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</si>
  <si>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</si>
  <si>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</si>
  <si>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</si>
  <si>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</si>
  <si>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</si>
  <si>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</si>
  <si>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</si>
  <si>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</si>
  <si>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</si>
  <si>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</si>
  <si>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</si>
  <si>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</si>
  <si>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</si>
  <si>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</si>
  <si>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</si>
  <si>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</si>
  <si>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</si>
  <si>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</si>
  <si>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</si>
  <si>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</si>
  <si>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</si>
  <si>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</si>
  <si>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</si>
  <si>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</si>
  <si>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</si>
  <si>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</si>
  <si>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</si>
  <si>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</si>
  <si>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</si>
  <si>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</si>
  <si>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</si>
  <si>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</si>
  <si>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</si>
  <si>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</si>
  <si>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</si>
  <si>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</si>
  <si>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</si>
  <si>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</si>
  <si>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</si>
  <si>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</si>
  <si>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</si>
  <si>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</si>
  <si>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</si>
  <si>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</si>
  <si>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</si>
  <si>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</si>
  <si>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</si>
  <si>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</si>
  <si>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</si>
  <si>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</si>
  <si>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</si>
  <si>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</si>
  <si>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</si>
  <si>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</si>
  <si>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</si>
  <si>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</si>
  <si>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</si>
  <si>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</si>
  <si>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</si>
  <si>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</si>
  <si>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</si>
  <si>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</si>
  <si>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</si>
  <si>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</si>
  <si>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</si>
  <si>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</si>
  <si>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</si>
  <si>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</si>
  <si>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</si>
  <si>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</si>
  <si>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</si>
  <si>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</si>
  <si>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</si>
  <si>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</si>
  <si>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</si>
  <si>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</si>
  <si>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</si>
  <si>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</si>
  <si>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</si>
  <si>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</si>
  <si>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</si>
  <si>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</si>
  <si>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</si>
  <si>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</si>
  <si>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</si>
  <si>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</si>
  <si>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</si>
  <si>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</si>
  <si>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</si>
  <si>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</si>
  <si>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</si>
  <si>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</si>
  <si>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</si>
  <si>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</si>
  <si>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</si>
  <si>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</si>
  <si>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</si>
  <si>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</si>
  <si>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</si>
  <si>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</si>
  <si>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</si>
  <si>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</si>
  <si>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</si>
  <si>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</si>
  <si>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</si>
  <si>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</si>
  <si>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</si>
  <si>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</si>
  <si>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</si>
  <si>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</si>
  <si>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</si>
  <si>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</si>
  <si>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</si>
  <si>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</si>
  <si>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</si>
  <si>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</si>
  <si>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</si>
  <si>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</si>
  <si>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</si>
  <si>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</si>
  <si>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</si>
  <si>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</si>
  <si>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</si>
  <si>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</si>
  <si>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</si>
  <si>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</si>
  <si>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</si>
  <si>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</si>
  <si>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</si>
  <si>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</si>
  <si>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</si>
  <si>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</si>
  <si>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</si>
  <si>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</si>
  <si>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</si>
  <si>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</si>
  <si>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</si>
  <si>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</si>
  <si>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</si>
  <si>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</si>
  <si>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</si>
  <si>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</si>
  <si>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</si>
  <si>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</si>
  <si>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</si>
  <si>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</si>
  <si>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</si>
  <si>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</si>
  <si>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</si>
  <si>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</si>
  <si>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</si>
  <si>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</si>
  <si>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</si>
  <si>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</si>
  <si>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</si>
  <si>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</si>
  <si>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</si>
  <si>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</si>
  <si>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</si>
  <si>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</si>
  <si>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</si>
  <si>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</si>
  <si>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</si>
  <si>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</si>
  <si>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</si>
  <si>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</si>
  <si>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</si>
  <si>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</si>
  <si>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</si>
  <si>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</si>
  <si>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</si>
  <si>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</si>
  <si>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</si>
  <si>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</si>
  <si>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</si>
  <si>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</si>
  <si>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</si>
  <si>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</si>
  <si>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</si>
  <si>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</si>
  <si>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</si>
  <si>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</si>
  <si>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</si>
  <si>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</si>
  <si>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</si>
  <si>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</si>
  <si>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</si>
  <si>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</si>
  <si>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</si>
  <si>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</si>
  <si>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</si>
  <si>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</si>
  <si>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</si>
  <si>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</si>
  <si>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</si>
  <si>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</si>
  <si>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</si>
  <si>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</si>
  <si>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</si>
  <si>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</si>
  <si>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</si>
  <si>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</si>
  <si>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</si>
  <si>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</si>
  <si>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</si>
  <si>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</si>
  <si>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</si>
  <si>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</si>
  <si>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</si>
  <si>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</si>
  <si>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</si>
  <si>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</si>
  <si>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</si>
  <si>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</si>
  <si>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</si>
  <si>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</si>
  <si>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</si>
  <si>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</si>
  <si>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</si>
  <si>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</si>
  <si>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</si>
  <si>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</si>
  <si>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</si>
  <si>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</si>
  <si>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</si>
  <si>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</si>
  <si>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</si>
  <si>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</si>
  <si>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</si>
  <si>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</si>
  <si>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</si>
  <si>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</si>
  <si>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</si>
  <si>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</si>
  <si>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</si>
  <si>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</si>
  <si>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</si>
  <si>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</si>
  <si>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</si>
  <si>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</si>
  <si>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</si>
  <si>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</si>
  <si>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</si>
  <si>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</si>
  <si>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</si>
  <si>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</si>
  <si>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</si>
  <si>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</si>
  <si>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</si>
  <si>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</si>
  <si>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</si>
  <si>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</si>
  <si>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</si>
  <si>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</si>
  <si>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</si>
  <si>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</si>
  <si>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</si>
  <si>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</si>
  <si>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</si>
  <si>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</si>
  <si>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</si>
  <si>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</si>
  <si>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</si>
  <si>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</si>
  <si>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</si>
  <si>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</si>
  <si>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</si>
  <si>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</si>
  <si>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</si>
  <si>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</si>
  <si>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</si>
  <si>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</si>
  <si>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</si>
  <si>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</si>
  <si>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</si>
  <si>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</si>
  <si>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</si>
  <si>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</si>
  <si>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</si>
  <si>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</si>
  <si>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</si>
  <si>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</si>
  <si>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</si>
  <si>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</si>
  <si>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</si>
  <si>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</si>
  <si>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</si>
  <si>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</si>
  <si>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</si>
  <si>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</si>
  <si>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</si>
  <si>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</si>
  <si>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</si>
  <si>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</si>
  <si>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</si>
  <si>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</si>
  <si>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</si>
  <si>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</si>
  <si>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</si>
  <si>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</si>
  <si>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</si>
  <si>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</si>
  <si>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</si>
  <si>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</si>
  <si>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</si>
  <si>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</si>
  <si>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</si>
  <si>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</si>
  <si>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</si>
  <si>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</si>
  <si>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</si>
  <si>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</si>
  <si>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</si>
  <si>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</si>
  <si>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</si>
  <si>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</si>
  <si>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</si>
  <si>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</si>
  <si>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</si>
  <si>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</si>
  <si>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</si>
  <si>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</si>
  <si>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</si>
  <si>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</si>
  <si>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</si>
  <si>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</si>
  <si>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</si>
  <si>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</si>
  <si>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</si>
  <si>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</si>
  <si>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</si>
  <si>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</si>
  <si>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</si>
  <si>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</si>
  <si>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</si>
  <si>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</si>
  <si>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</si>
  <si>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</si>
  <si>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</si>
  <si>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</si>
  <si>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</si>
  <si>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</si>
  <si>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</si>
  <si>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</si>
  <si>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</si>
  <si>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</si>
  <si>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</si>
  <si>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</si>
  <si>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</si>
  <si>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</si>
  <si>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</si>
  <si>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</si>
  <si>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</si>
  <si>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</si>
  <si>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</si>
  <si>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</si>
  <si>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</si>
  <si>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</si>
  <si>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</si>
  <si>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</si>
  <si>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</si>
  <si>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</si>
  <si>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</si>
  <si>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</si>
  <si>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</si>
  <si>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</si>
  <si>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</si>
  <si>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</si>
  <si>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</si>
  <si>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</si>
  <si>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</si>
  <si>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</si>
  <si>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</si>
  <si>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</si>
  <si>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</si>
  <si>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</si>
  <si>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</si>
  <si>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</si>
  <si>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</si>
  <si>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</si>
  <si>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</si>
  <si>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</si>
  <si>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</si>
  <si>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</si>
  <si>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</si>
  <si>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</si>
  <si>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</si>
  <si>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</si>
  <si>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</si>
  <si>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</si>
  <si>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</si>
  <si>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</si>
  <si>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</si>
  <si>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</si>
  <si>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</si>
  <si>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</si>
  <si>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</si>
  <si>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</si>
  <si>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</si>
  <si>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</si>
  <si>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</si>
  <si>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</si>
  <si>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</si>
  <si>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</si>
  <si>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</si>
  <si>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</si>
  <si>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</si>
  <si>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</si>
  <si>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</si>
  <si>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</si>
  <si>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</si>
  <si>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</si>
  <si>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</si>
  <si>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</si>
  <si>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</si>
  <si>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</si>
  <si>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</si>
  <si>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</si>
  <si>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</si>
  <si>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</si>
  <si>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</si>
  <si>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</si>
  <si>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</si>
  <si>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</si>
  <si>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</si>
  <si>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</si>
  <si>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</si>
  <si>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</si>
  <si>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</si>
  <si>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</si>
  <si>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</si>
  <si>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</si>
  <si>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</si>
  <si>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</si>
  <si>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</si>
  <si>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</si>
  <si>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</si>
  <si>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</si>
  <si>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</si>
  <si>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</si>
  <si>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</si>
  <si>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</si>
  <si>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</si>
  <si>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</si>
  <si>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</si>
  <si>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</si>
  <si>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</si>
  <si>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</si>
  <si>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</si>
  <si>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</si>
  <si>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</si>
  <si>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</si>
  <si>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</si>
  <si>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</si>
  <si>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</si>
  <si>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</si>
  <si>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</si>
  <si>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</si>
  <si>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</si>
  <si>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</si>
  <si>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</si>
  <si>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</si>
  <si>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</si>
  <si>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</si>
  <si>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</si>
  <si>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</si>
  <si>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</si>
  <si>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</si>
  <si>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</si>
  <si>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</si>
  <si>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</si>
  <si>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</si>
  <si>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</si>
  <si>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</si>
  <si>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</si>
  <si>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</si>
  <si>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</si>
  <si>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</si>
  <si>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</si>
  <si>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</si>
  <si>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</si>
  <si>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</si>
  <si>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</si>
  <si>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</si>
  <si>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</si>
  <si>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</si>
  <si>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</si>
  <si>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</si>
  <si>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</si>
  <si>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</si>
  <si>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</si>
  <si>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</si>
  <si>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</si>
  <si>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</si>
  <si>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</si>
  <si>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</si>
  <si>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</si>
  <si>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</si>
  <si>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</si>
  <si>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</si>
  <si>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</si>
  <si>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</si>
  <si>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</si>
  <si>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</si>
  <si>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</si>
  <si>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</si>
  <si>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</si>
  <si>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</si>
  <si>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</si>
  <si>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</si>
  <si>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</si>
  <si>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</si>
  <si>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</si>
  <si>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</si>
  <si>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</si>
  <si>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</si>
  <si>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</si>
  <si>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</si>
  <si>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</si>
  <si>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</si>
  <si>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</si>
  <si>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</si>
  <si>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</si>
  <si>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</si>
  <si>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</si>
  <si>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</si>
  <si>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</si>
  <si>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</si>
  <si>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</si>
  <si>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</si>
  <si>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</si>
  <si>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</si>
  <si>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</si>
  <si>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</si>
  <si>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</si>
  <si>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</si>
  <si>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</si>
  <si>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</si>
  <si>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</si>
  <si>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</si>
  <si>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</si>
  <si>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</si>
  <si>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</si>
  <si>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</si>
  <si>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</si>
  <si>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</si>
  <si>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</si>
  <si>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</si>
  <si>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</si>
  <si>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</si>
  <si>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</si>
  <si>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</si>
  <si>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</si>
  <si>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</si>
  <si>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</si>
  <si>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</si>
  <si>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</si>
  <si>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</si>
  <si>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</si>
  <si>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</si>
  <si>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</si>
  <si>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</si>
  <si>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</si>
  <si>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</si>
  <si>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</si>
  <si>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</si>
  <si>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</si>
  <si>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</si>
  <si>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</si>
  <si>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</si>
  <si>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</si>
  <si>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</si>
  <si>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</si>
  <si>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</si>
  <si>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</si>
  <si>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</si>
  <si>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</si>
  <si>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</si>
  <si>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</si>
  <si>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</si>
  <si>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</si>
  <si>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</si>
  <si>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</si>
  <si>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</si>
  <si>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</si>
  <si>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</si>
  <si>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</si>
  <si>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</si>
  <si>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</si>
  <si>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</si>
  <si>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</si>
  <si>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</si>
  <si>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</si>
  <si>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</si>
  <si>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</si>
  <si>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</si>
  <si>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</si>
  <si>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</si>
  <si>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</si>
  <si>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</si>
  <si>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</si>
  <si>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</si>
  <si>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</si>
  <si>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</si>
  <si>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</si>
  <si>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</si>
  <si>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</si>
  <si>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</si>
  <si>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</si>
  <si>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</si>
  <si>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</si>
  <si>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</si>
  <si>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</si>
  <si>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</si>
  <si>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</si>
  <si>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</si>
  <si>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</si>
  <si>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</si>
  <si>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</si>
  <si>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</si>
  <si>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</si>
  <si>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</si>
  <si>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</si>
  <si>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</si>
  <si>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</si>
  <si>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</si>
  <si>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</si>
  <si>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</si>
  <si>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</si>
  <si>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</si>
  <si>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</si>
  <si>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</si>
  <si>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</si>
  <si>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</si>
  <si>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</si>
  <si>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</si>
  <si>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</si>
  <si>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</si>
  <si>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</si>
  <si>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</si>
  <si>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</si>
  <si>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</si>
  <si>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</si>
  <si>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</si>
  <si>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</si>
  <si>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</si>
  <si>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</si>
  <si>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</si>
  <si>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</si>
  <si>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</si>
  <si>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</si>
  <si>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</si>
  <si>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</si>
  <si>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</si>
  <si>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</si>
  <si>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</si>
  <si>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</si>
  <si>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</si>
  <si>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</si>
  <si>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</si>
  <si>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</si>
  <si>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</si>
  <si>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</si>
  <si>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</si>
  <si>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</si>
  <si>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</si>
  <si>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</si>
  <si>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</si>
  <si>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</si>
  <si>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</si>
  <si>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</si>
  <si>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</si>
  <si>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</si>
  <si>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</si>
  <si>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</si>
  <si>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</si>
  <si>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</si>
  <si>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</si>
  <si>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</si>
  <si>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</si>
  <si>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</si>
  <si>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</si>
  <si>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</si>
  <si>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</si>
  <si>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</si>
  <si>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</si>
  <si>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</si>
  <si>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</si>
  <si>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</si>
  <si>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</si>
  <si>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</si>
  <si>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</si>
  <si>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</si>
  <si>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</si>
  <si>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</si>
  <si>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</si>
  <si>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</si>
  <si>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</si>
  <si>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</si>
  <si>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</si>
  <si>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</si>
  <si>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</si>
  <si>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</si>
  <si>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</si>
  <si>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</si>
  <si>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</si>
  <si>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</si>
  <si>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</si>
  <si>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</si>
  <si>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</si>
  <si>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</si>
  <si>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</si>
  <si>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</si>
  <si>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</si>
  <si>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</si>
  <si>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</si>
  <si>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</si>
  <si>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</si>
  <si>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</si>
  <si>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</si>
  <si>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</si>
  <si>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</si>
  <si>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</si>
  <si>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</si>
  <si>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</si>
  <si>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</si>
  <si>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</si>
  <si>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</si>
  <si>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</si>
  <si>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</si>
  <si>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</si>
  <si>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</si>
  <si>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</si>
  <si>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</si>
  <si>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</si>
  <si>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</si>
  <si>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</si>
  <si>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</si>
  <si>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</si>
  <si>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</si>
  <si>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</si>
  <si>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</si>
  <si>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</si>
  <si>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</si>
  <si>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</si>
  <si>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</si>
  <si>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</si>
  <si>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</si>
  <si>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</si>
  <si>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</si>
  <si>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</si>
  <si>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</si>
  <si>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</si>
  <si>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</si>
  <si>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</si>
  <si>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</si>
  <si>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</si>
  <si>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</si>
  <si>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</si>
  <si>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</si>
  <si>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</si>
  <si>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</si>
  <si>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</si>
  <si>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</si>
  <si>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</si>
  <si>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</si>
  <si>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</si>
  <si>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</si>
  <si>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</si>
  <si>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</si>
  <si>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</si>
  <si>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</si>
  <si>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</si>
  <si>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</si>
  <si>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</si>
  <si>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</si>
  <si>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</si>
  <si>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</si>
  <si>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</si>
  <si>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</si>
  <si>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</si>
  <si>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</si>
  <si>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</si>
  <si>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</si>
  <si>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</si>
  <si>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</si>
  <si>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</si>
  <si>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</si>
  <si>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</si>
  <si>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</si>
  <si>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</si>
  <si>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</si>
  <si>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</si>
  <si>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</si>
  <si>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</si>
  <si>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</si>
  <si>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</si>
  <si>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</si>
  <si>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</si>
  <si>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</si>
  <si>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</si>
  <si>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</si>
  <si>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</si>
  <si>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</si>
  <si>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</si>
  <si>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</si>
  <si>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</si>
  <si>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</si>
  <si>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</si>
  <si>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</si>
  <si>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</si>
  <si>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</si>
  <si>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</si>
  <si>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</si>
  <si>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</si>
  <si>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</si>
  <si>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</si>
  <si>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</si>
  <si>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</si>
  <si>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</si>
  <si>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</si>
  <si>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</si>
  <si>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</si>
  <si>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</si>
  <si>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</si>
  <si>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</si>
  <si>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</si>
  <si>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</si>
  <si>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</si>
  <si>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</si>
  <si>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</si>
  <si>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</si>
  <si>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</si>
  <si>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</si>
  <si>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</si>
  <si>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</si>
  <si>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</si>
  <si>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</si>
  <si>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</si>
  <si>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</si>
  <si>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</si>
  <si>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</si>
  <si>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</si>
  <si>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</si>
  <si>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</si>
  <si>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</si>
  <si>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</si>
  <si>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</si>
  <si>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</si>
  <si>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</si>
  <si>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</si>
  <si>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</si>
  <si>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</si>
  <si>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</si>
  <si>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</si>
  <si>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</si>
  <si>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</si>
  <si>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</si>
  <si>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</si>
  <si>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</si>
  <si>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</si>
  <si>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</si>
  <si>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</si>
  <si>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</si>
  <si>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</si>
  <si>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</si>
  <si>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</si>
  <si>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</si>
  <si>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</si>
  <si>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</si>
  <si>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</si>
  <si>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</si>
  <si>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</si>
  <si>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</si>
  <si>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</si>
  <si>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</si>
  <si>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</si>
  <si>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</si>
  <si>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</si>
  <si>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</si>
  <si>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</si>
  <si>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</si>
  <si>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</si>
  <si>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</si>
  <si>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</si>
  <si>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</si>
  <si>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</si>
  <si>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</si>
  <si>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</si>
  <si>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</si>
  <si>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</si>
  <si>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</si>
  <si>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</si>
  <si>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</si>
  <si>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</si>
  <si>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</si>
  <si>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</si>
  <si>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</si>
  <si>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</si>
  <si>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</si>
  <si>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</si>
  <si>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</si>
  <si>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</si>
  <si>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</si>
  <si>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</si>
  <si>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</si>
  <si>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</si>
  <si>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</si>
  <si>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</si>
  <si>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</si>
  <si>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</si>
  <si>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</si>
  <si>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</si>
  <si>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</si>
  <si>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</si>
  <si>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</si>
  <si>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</si>
  <si>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</si>
  <si>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</si>
  <si>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</si>
  <si>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</si>
  <si>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</si>
  <si>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</si>
  <si>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</si>
  <si>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</si>
  <si>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</si>
  <si>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</si>
  <si>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</si>
  <si>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</si>
  <si>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</si>
  <si>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</si>
  <si>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</si>
  <si>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</si>
  <si>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</si>
  <si>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</si>
  <si>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</si>
  <si>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</si>
  <si>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</si>
  <si>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</si>
  <si>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</si>
  <si>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</si>
  <si>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</si>
  <si>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</si>
  <si>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</si>
  <si>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</si>
  <si>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</si>
  <si>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</si>
  <si>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</si>
  <si>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</si>
  <si>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</si>
  <si>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</si>
  <si>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</si>
  <si>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</si>
  <si>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</si>
  <si>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</si>
  <si>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</si>
  <si>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</si>
  <si>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</si>
  <si>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</si>
  <si>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</si>
  <si>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</si>
  <si>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</si>
  <si>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</si>
  <si>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</si>
  <si>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</si>
  <si>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</si>
  <si>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</si>
  <si>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</si>
  <si>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</si>
  <si>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</si>
  <si>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</si>
  <si>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</si>
  <si>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</si>
  <si>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</si>
  <si>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</si>
  <si>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</si>
  <si>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</si>
  <si>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</si>
  <si>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</si>
  <si>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</si>
  <si>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</si>
  <si>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</si>
  <si>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</si>
  <si>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</si>
  <si>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</si>
  <si>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</si>
  <si>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</si>
  <si>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</si>
  <si>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</si>
  <si>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</si>
  <si>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</si>
  <si>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</si>
  <si>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</si>
  <si>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</si>
  <si>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</si>
  <si>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</si>
  <si>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</si>
  <si>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</si>
  <si>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</si>
  <si>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</si>
  <si>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</si>
  <si>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</si>
  <si>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</si>
  <si>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</si>
  <si>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</si>
  <si>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</si>
  <si>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</si>
  <si>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</si>
  <si>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</si>
  <si>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</si>
  <si>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</si>
  <si>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</si>
  <si>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</si>
  <si>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</si>
  <si>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</si>
  <si>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</si>
  <si>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</si>
  <si>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</si>
  <si>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</si>
  <si>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</si>
  <si>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</si>
  <si>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</si>
  <si>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</si>
  <si>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</si>
  <si>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</si>
  <si>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</si>
  <si>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</si>
  <si>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</si>
  <si>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</si>
  <si>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</si>
  <si>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</si>
  <si>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</si>
  <si>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</si>
  <si>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</si>
  <si>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</si>
  <si>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</si>
  <si>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</si>
  <si>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</si>
  <si>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</si>
  <si>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</si>
  <si>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</si>
  <si>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</si>
  <si>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</si>
  <si>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</si>
  <si>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</si>
  <si>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</si>
  <si>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</si>
  <si>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</si>
  <si>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</si>
  <si>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</si>
  <si>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</si>
  <si>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</si>
  <si>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</si>
  <si>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</si>
  <si>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</si>
  <si>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</si>
  <si>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</si>
  <si>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</si>
  <si>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</si>
  <si>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</si>
  <si>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</si>
  <si>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</si>
  <si>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</si>
  <si>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</si>
  <si>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</si>
  <si>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</si>
  <si>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</si>
  <si>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</si>
  <si>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</si>
  <si>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</si>
  <si>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</si>
  <si>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</si>
  <si>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</si>
  <si>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</si>
  <si>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</si>
  <si>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</si>
  <si>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</si>
  <si>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</si>
  <si>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</si>
  <si>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</si>
  <si>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</si>
  <si>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</si>
  <si>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</si>
  <si>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</si>
  <si>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</si>
  <si>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</si>
  <si>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</si>
  <si>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</si>
  <si>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</si>
  <si>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</si>
  <si>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</si>
  <si>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</si>
  <si>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</si>
  <si>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</si>
  <si>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</si>
  <si>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</si>
  <si>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</si>
  <si>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</si>
  <si>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</si>
  <si>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</si>
  <si>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</si>
  <si>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</si>
  <si>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</si>
  <si>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</si>
  <si>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</si>
  <si>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</si>
  <si>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</si>
  <si>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</si>
  <si>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</si>
  <si>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</si>
  <si>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</si>
  <si>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</si>
  <si>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</si>
  <si>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</si>
  <si>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</si>
  <si>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</si>
  <si>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</si>
  <si>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</si>
  <si>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</si>
  <si>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</si>
  <si>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</si>
  <si>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</si>
  <si>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</si>
  <si>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</si>
  <si>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</si>
  <si>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</si>
  <si>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</si>
  <si>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</si>
  <si>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</si>
  <si>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</si>
  <si>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</si>
  <si>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</si>
  <si>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</si>
  <si>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</si>
  <si>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</si>
  <si>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</si>
  <si>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</si>
  <si>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</si>
  <si>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</si>
  <si>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</si>
  <si>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</si>
  <si>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</si>
  <si>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</si>
  <si>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</si>
  <si>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</si>
  <si>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</si>
  <si>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</si>
  <si>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</si>
  <si>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</si>
  <si>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</si>
  <si>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</si>
  <si>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</si>
  <si>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</si>
  <si>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</si>
  <si>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</si>
  <si>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</si>
  <si>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</si>
  <si>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</si>
  <si>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</si>
  <si>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</si>
  <si>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</si>
  <si>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</si>
  <si>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</si>
  <si>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</si>
  <si>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</si>
  <si>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</si>
  <si>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</si>
  <si>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</si>
  <si>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</si>
  <si>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</si>
  <si>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</si>
  <si>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</si>
  <si>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</si>
  <si>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</si>
  <si>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</si>
  <si>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</si>
  <si>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</si>
  <si>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</si>
  <si>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</si>
  <si>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</si>
  <si>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</si>
  <si>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</si>
  <si>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</si>
  <si>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</si>
  <si>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</si>
  <si>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</si>
  <si>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</si>
  <si>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</si>
  <si>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</si>
  <si>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</si>
  <si>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</si>
  <si>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</si>
  <si>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</si>
  <si>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</si>
  <si>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</si>
  <si>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</si>
  <si>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</si>
  <si>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</si>
  <si>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</si>
  <si>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</si>
  <si>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</si>
  <si>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</si>
  <si>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</si>
  <si>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</si>
  <si>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</si>
  <si>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</si>
  <si>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</si>
  <si>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</si>
  <si>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</si>
  <si>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</si>
  <si>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</si>
  <si>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</si>
  <si>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</si>
  <si>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</si>
  <si>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</si>
  <si>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</si>
  <si>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</si>
  <si>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</si>
  <si>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</si>
  <si>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</si>
  <si>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</si>
  <si>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</si>
  <si>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</si>
  <si>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</si>
  <si>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</si>
  <si>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</si>
  <si>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</si>
  <si>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</si>
  <si>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</si>
  <si>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</si>
  <si>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</si>
  <si>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</si>
  <si>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</si>
  <si>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</si>
  <si>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</si>
  <si>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</si>
  <si>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</si>
  <si>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</si>
  <si>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</si>
  <si>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</si>
  <si>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</si>
  <si>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</si>
  <si>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</si>
  <si>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</si>
  <si>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</si>
  <si>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</si>
  <si>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</si>
  <si>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</si>
  <si>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</si>
  <si>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</si>
  <si>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</si>
  <si>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</si>
  <si>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</si>
  <si>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</si>
  <si>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</si>
  <si>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</si>
  <si>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</si>
  <si>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</si>
  <si>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</si>
  <si>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</si>
  <si>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</si>
  <si>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</si>
  <si>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</si>
  <si>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</si>
  <si>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</si>
  <si>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</si>
  <si>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</si>
  <si>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</si>
  <si>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</si>
  <si>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</si>
  <si>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</si>
  <si>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</si>
  <si>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</si>
  <si>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</si>
  <si>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</si>
  <si>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</si>
  <si>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</si>
  <si>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</si>
  <si>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</si>
  <si>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</si>
  <si>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</si>
  <si>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</si>
  <si>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</si>
  <si>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</si>
  <si>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</si>
  <si>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</si>
  <si>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</si>
  <si>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</si>
  <si>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</si>
  <si>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</si>
  <si>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</si>
  <si>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</si>
  <si>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</si>
  <si>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</si>
  <si>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</si>
  <si>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</si>
  <si>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</si>
  <si>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</si>
  <si>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</si>
  <si>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</si>
  <si>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</si>
  <si>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</si>
  <si>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</si>
  <si>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</si>
  <si>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</si>
  <si>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</si>
  <si>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</si>
  <si>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</si>
  <si>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</si>
  <si>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</si>
  <si>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</si>
  <si>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</si>
  <si>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</si>
  <si>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</si>
  <si>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</si>
  <si>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</si>
  <si>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</si>
  <si>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</si>
  <si>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</si>
  <si>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</si>
  <si>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</si>
  <si>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</si>
  <si>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</si>
  <si>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</si>
  <si>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</si>
  <si>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</si>
  <si>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</si>
  <si>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</si>
  <si>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</si>
  <si>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</si>
  <si>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</si>
  <si>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</si>
  <si>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</si>
  <si>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</si>
  <si>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</si>
  <si>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</si>
  <si>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</si>
  <si>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</si>
  <si>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</si>
  <si>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</si>
  <si>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</si>
  <si>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</si>
  <si>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</si>
  <si>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</si>
  <si>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</si>
  <si>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</si>
  <si>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</si>
  <si>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</si>
  <si>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</si>
  <si>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</si>
  <si>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</si>
  <si>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</si>
  <si>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</si>
  <si>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</si>
  <si>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</si>
  <si>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</si>
  <si>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</si>
  <si>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</si>
  <si>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</si>
  <si>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</si>
  <si>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</si>
  <si>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</si>
  <si>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</si>
  <si>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</si>
  <si>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</si>
  <si>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</si>
  <si>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</si>
  <si>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</si>
  <si>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</si>
  <si>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</si>
  <si>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</si>
  <si>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</si>
  <si>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</si>
  <si>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</si>
  <si>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</si>
  <si>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</si>
  <si>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</si>
  <si>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</si>
  <si>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</si>
  <si>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</si>
  <si>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</si>
  <si>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</si>
  <si>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</si>
  <si>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</si>
  <si>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</si>
  <si>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</si>
  <si>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</si>
  <si>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</si>
  <si>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</si>
  <si>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</si>
  <si>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</si>
  <si>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</si>
  <si>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</si>
  <si>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</si>
  <si>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</si>
  <si>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</si>
  <si>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</si>
  <si>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</si>
  <si>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</si>
  <si>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</si>
  <si>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</si>
  <si>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</si>
  <si>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</si>
  <si>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</si>
  <si>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</si>
  <si>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</si>
  <si>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</si>
  <si>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</si>
  <si>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</si>
  <si>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</si>
  <si>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</si>
  <si>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</si>
  <si>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</si>
  <si>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</si>
  <si>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</si>
  <si>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</si>
  <si>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</si>
  <si>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</si>
  <si>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</si>
  <si>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</si>
  <si>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</si>
  <si>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</si>
  <si>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</si>
  <si>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</si>
  <si>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</si>
  <si>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</si>
  <si>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</si>
  <si>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</si>
  <si>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</si>
  <si>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</si>
  <si>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</si>
  <si>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</si>
  <si>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</si>
  <si>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</si>
  <si>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</si>
  <si>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</si>
  <si>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</si>
  <si>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</si>
  <si>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</si>
  <si>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</si>
  <si>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</si>
  <si>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</si>
  <si>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</si>
  <si>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</si>
  <si>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</si>
  <si>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</si>
  <si>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</si>
  <si>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</si>
  <si>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</si>
  <si>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</si>
  <si>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</si>
  <si>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</si>
  <si>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</si>
  <si>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</si>
  <si>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</si>
  <si>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</si>
  <si>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</si>
  <si>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</si>
  <si>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</si>
  <si>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</si>
  <si>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</si>
  <si>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</si>
  <si>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</si>
  <si>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</si>
  <si>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</si>
  <si>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</si>
  <si>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</si>
  <si>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</si>
  <si>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</si>
  <si>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</si>
  <si>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</si>
  <si>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</si>
  <si>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</si>
  <si>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</si>
  <si>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</si>
  <si>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</si>
  <si>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</si>
  <si>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</si>
  <si>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</si>
  <si>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</si>
  <si>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</si>
  <si>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</si>
  <si>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</si>
  <si>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</si>
  <si>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</si>
  <si>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</si>
  <si>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</si>
  <si>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</si>
  <si>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</si>
  <si>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</si>
  <si>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</si>
  <si>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</si>
  <si>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</si>
  <si>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</si>
  <si>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</si>
  <si>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</si>
  <si>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</si>
  <si>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</si>
  <si>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</si>
  <si>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</si>
  <si>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</si>
  <si>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</si>
  <si>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</si>
  <si>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</si>
  <si>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</si>
  <si>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</si>
  <si>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</si>
  <si>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</si>
  <si>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</si>
  <si>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</si>
  <si>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</si>
  <si>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</si>
  <si>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</si>
  <si>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</si>
  <si>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</si>
  <si>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</si>
  <si>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</si>
  <si>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</si>
  <si>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</si>
  <si>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</si>
  <si>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</si>
  <si>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</si>
  <si>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</si>
  <si>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</si>
  <si>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</si>
  <si>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</si>
  <si>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</si>
  <si>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</si>
  <si>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</si>
  <si>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</si>
  <si>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</si>
  <si>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</si>
  <si>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</si>
  <si>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</si>
  <si>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</si>
  <si>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</si>
  <si>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</si>
  <si>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</si>
  <si>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</si>
  <si>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</si>
  <si>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</si>
  <si>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</si>
  <si>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</si>
  <si>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</si>
  <si>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</si>
  <si>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</si>
  <si>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</si>
  <si>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</si>
  <si>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</si>
  <si>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</si>
  <si>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</si>
  <si>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</si>
  <si>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</si>
  <si>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</si>
  <si>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</si>
  <si>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</si>
  <si>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</si>
  <si>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</si>
  <si>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</si>
  <si>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</si>
  <si>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</si>
  <si>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</si>
  <si>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</si>
  <si>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</si>
  <si>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</si>
  <si>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</si>
  <si>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</si>
  <si>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</si>
  <si>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</si>
  <si>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</si>
  <si>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</si>
  <si>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</si>
  <si>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</si>
  <si>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</si>
  <si>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</si>
  <si>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</si>
  <si>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</si>
  <si>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</si>
  <si>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</si>
  <si>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</si>
  <si>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</si>
  <si>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</si>
  <si>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</si>
  <si>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</si>
  <si>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</si>
  <si>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</si>
  <si>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</si>
  <si>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</si>
  <si>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</si>
  <si>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</si>
  <si>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</si>
  <si>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</si>
  <si>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</si>
  <si>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</si>
  <si>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</si>
  <si>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</si>
  <si>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</si>
  <si>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</si>
  <si>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</si>
  <si>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</si>
  <si>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</si>
  <si>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</si>
  <si>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</si>
  <si>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</si>
  <si>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</si>
  <si>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</si>
  <si>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</si>
  <si>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</si>
  <si>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</si>
  <si>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</si>
  <si>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</si>
  <si>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</si>
  <si>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</si>
  <si>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</si>
  <si>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</si>
  <si>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</si>
  <si>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</si>
  <si>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</si>
  <si>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</si>
  <si>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</si>
  <si>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</si>
  <si>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</si>
  <si>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</si>
  <si>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</si>
  <si>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</si>
  <si>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</si>
  <si>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</si>
  <si>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</si>
  <si>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</si>
  <si>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</si>
  <si>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</si>
  <si>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</si>
  <si>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</si>
  <si>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</si>
  <si>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</si>
  <si>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</si>
  <si>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</si>
  <si>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</si>
  <si>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</si>
  <si>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</si>
  <si>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</si>
  <si>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</si>
  <si>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</si>
  <si>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</si>
  <si>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</si>
  <si>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</si>
  <si>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</si>
  <si>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</si>
  <si>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</si>
  <si>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</si>
  <si>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</si>
  <si>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</si>
  <si>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</si>
  <si>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</si>
  <si>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</si>
  <si>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</si>
  <si>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</si>
  <si>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</si>
  <si>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</si>
  <si>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</si>
  <si>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</si>
  <si>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</si>
  <si>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</si>
  <si>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</si>
  <si>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</si>
  <si>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</si>
  <si>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</si>
  <si>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</si>
  <si>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</si>
  <si>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</si>
  <si>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</si>
  <si>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</si>
  <si>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</si>
  <si>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</si>
  <si>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</si>
  <si>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</si>
  <si>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</si>
  <si>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</si>
  <si>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</si>
  <si>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</si>
  <si>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</si>
  <si>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</si>
  <si>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</si>
  <si>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</si>
  <si>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</si>
  <si>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</si>
  <si>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</si>
  <si>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</si>
  <si>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</si>
  <si>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</si>
  <si>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</si>
  <si>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</si>
  <si>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</si>
  <si>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</si>
  <si>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</si>
  <si>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</si>
  <si>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</si>
  <si>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</si>
  <si>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</si>
  <si>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</si>
  <si>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</si>
  <si>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</si>
  <si>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</si>
  <si>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</si>
  <si>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</si>
  <si>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</si>
  <si>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</si>
  <si>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</si>
  <si>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</si>
  <si>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</si>
  <si>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</si>
  <si>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</si>
  <si>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</si>
  <si>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</si>
  <si>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</si>
  <si>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</si>
  <si>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</si>
  <si>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</si>
  <si>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</si>
  <si>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</si>
  <si>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</si>
  <si>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</si>
  <si>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</si>
  <si>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</si>
  <si>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</si>
  <si>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</si>
  <si>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</si>
  <si>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</si>
  <si>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</si>
  <si>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</si>
  <si>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</si>
  <si>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</si>
  <si>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</si>
  <si>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</si>
  <si>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</si>
  <si>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</si>
  <si>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</si>
  <si>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</si>
  <si>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</si>
  <si>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</si>
  <si>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</si>
  <si>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</si>
  <si>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</si>
  <si>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</si>
  <si>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</si>
  <si>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</si>
  <si>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</si>
  <si>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</si>
  <si>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</si>
  <si>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</si>
  <si>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</si>
  <si>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</si>
  <si>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</si>
  <si>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</si>
  <si>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</si>
  <si>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</si>
  <si>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</si>
  <si>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</si>
  <si>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</si>
  <si>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</si>
  <si>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</si>
  <si>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</si>
  <si>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</si>
  <si>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</si>
  <si>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</si>
  <si>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</si>
  <si>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</si>
  <si>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</si>
  <si>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</si>
  <si>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</si>
  <si>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</si>
  <si>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</si>
  <si>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</si>
  <si>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</si>
  <si>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</si>
  <si>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</si>
  <si>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</si>
  <si>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</si>
  <si>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</si>
  <si>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</si>
  <si>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</si>
  <si>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</si>
  <si>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</si>
  <si>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</si>
  <si>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</si>
  <si>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</si>
  <si>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</si>
  <si>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</si>
  <si>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</si>
  <si>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</si>
  <si>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</si>
  <si>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</si>
  <si>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</si>
  <si>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</si>
  <si>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</si>
  <si>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</si>
  <si>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</si>
  <si>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</si>
  <si>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</si>
  <si>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</si>
  <si>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</si>
  <si>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</si>
  <si>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</si>
  <si>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</si>
  <si>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</si>
  <si>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</si>
  <si>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</si>
  <si>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</si>
  <si>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</si>
  <si>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</si>
  <si>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</si>
  <si>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</si>
  <si>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</si>
  <si>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</si>
  <si>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</si>
  <si>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</si>
  <si>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</si>
  <si>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</si>
  <si>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</si>
  <si>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</si>
  <si>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</si>
  <si>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</si>
  <si>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</si>
  <si>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</si>
  <si>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</si>
  <si>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</si>
  <si>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</si>
  <si>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</si>
  <si>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</si>
  <si>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</si>
  <si>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</si>
  <si>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</si>
  <si>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</si>
  <si>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</si>
  <si>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</si>
  <si>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</si>
  <si>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</si>
  <si>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</si>
  <si>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</si>
  <si>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</si>
  <si>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</si>
  <si>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</si>
  <si>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</si>
  <si>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</si>
  <si>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</si>
  <si>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</si>
  <si>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</si>
  <si>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</si>
  <si>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</si>
  <si>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</si>
  <si>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</si>
  <si>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</si>
  <si>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</si>
  <si>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</si>
  <si>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</si>
  <si>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</si>
  <si>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</si>
  <si>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</si>
  <si>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</si>
  <si>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</si>
  <si>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</si>
  <si>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</si>
  <si>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</si>
  <si>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</si>
  <si>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</si>
  <si>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</si>
  <si>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</si>
  <si>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</si>
  <si>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</si>
  <si>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</si>
  <si>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</si>
  <si>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</si>
  <si>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</si>
  <si>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</si>
  <si>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</si>
  <si>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</si>
  <si>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</si>
  <si>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</si>
  <si>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</si>
  <si>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</si>
  <si>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</si>
  <si>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</si>
  <si>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</si>
  <si>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</si>
  <si>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</si>
  <si>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</si>
  <si>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</si>
  <si>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</si>
  <si>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</si>
  <si>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</si>
  <si>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</si>
  <si>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</si>
  <si>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</si>
  <si>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</si>
  <si>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</si>
  <si>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</si>
  <si>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</si>
  <si>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</si>
  <si>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</si>
  <si>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</si>
  <si>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</si>
  <si>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</si>
  <si>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</si>
  <si>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</si>
  <si>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</si>
  <si>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</si>
  <si>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</si>
  <si>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</si>
  <si>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</si>
  <si>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</si>
  <si>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</si>
  <si>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</si>
  <si>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</si>
  <si>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</si>
  <si>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</si>
  <si>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</si>
  <si>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</si>
  <si>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</si>
  <si>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</si>
  <si>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</si>
  <si>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</si>
  <si>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</si>
  <si>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</si>
  <si>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</si>
  <si>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</si>
  <si>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</si>
  <si>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</si>
  <si>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</si>
  <si>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</si>
  <si>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</si>
  <si>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</si>
  <si>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</si>
  <si>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</si>
  <si>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</si>
  <si>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</si>
  <si>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</si>
  <si>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</si>
  <si>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</si>
  <si>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</si>
  <si>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</si>
  <si>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</si>
  <si>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</si>
  <si>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</si>
  <si>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</si>
  <si>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</si>
  <si>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</si>
  <si>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</si>
  <si>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</si>
  <si>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</si>
  <si>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</si>
  <si>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</si>
  <si>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</si>
  <si>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</si>
  <si>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</si>
  <si>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</si>
  <si>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</si>
  <si>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</si>
  <si>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</si>
  <si>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</si>
  <si>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</si>
  <si>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</si>
  <si>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</si>
  <si>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</si>
  <si>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</si>
  <si>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</si>
  <si>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</si>
  <si>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</si>
  <si>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</si>
  <si>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</si>
  <si>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</si>
  <si>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</si>
  <si>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</si>
  <si>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</si>
  <si>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</si>
  <si>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</si>
  <si>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</si>
  <si>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</si>
  <si>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</si>
  <si>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</si>
  <si>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</si>
  <si>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</si>
  <si>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</si>
  <si>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</si>
  <si>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</si>
  <si>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</si>
  <si>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</si>
  <si>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</si>
  <si>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</si>
  <si>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</si>
  <si>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</si>
  <si>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</si>
  <si>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</si>
  <si>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</si>
  <si>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</si>
  <si>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</si>
  <si>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</si>
  <si>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</si>
  <si>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</si>
  <si>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</si>
  <si>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</si>
  <si>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</si>
  <si>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</si>
  <si>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</si>
  <si>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</si>
  <si>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</si>
  <si>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</si>
  <si>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</si>
  <si>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</si>
  <si>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</si>
  <si>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</si>
  <si>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</si>
  <si>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</si>
  <si>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</si>
  <si>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</si>
  <si>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</si>
  <si>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</si>
  <si>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</si>
  <si>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</si>
  <si>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</si>
  <si>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</si>
  <si>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</si>
  <si>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</si>
  <si>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</si>
  <si>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</si>
  <si>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</si>
  <si>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</si>
  <si>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</si>
  <si>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</si>
  <si>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</si>
  <si>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</si>
  <si>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</si>
  <si>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</si>
  <si>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</si>
  <si>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</si>
  <si>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</si>
  <si>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</si>
  <si>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</si>
  <si>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</si>
  <si>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</si>
  <si>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</si>
  <si>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</si>
  <si>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</si>
  <si>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</si>
  <si>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</si>
  <si>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</si>
  <si>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</si>
  <si>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</si>
  <si>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</si>
  <si>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</si>
  <si>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</si>
  <si>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</si>
  <si>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</si>
  <si>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</si>
  <si>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</si>
  <si>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</si>
  <si>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</si>
  <si>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</si>
  <si>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</si>
  <si>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</si>
  <si>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</si>
  <si>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</si>
  <si>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</si>
  <si>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</si>
  <si>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</si>
  <si>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</si>
  <si>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</si>
  <si>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</si>
  <si>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</si>
  <si>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</si>
  <si>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</si>
  <si>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</si>
  <si>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</si>
  <si>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</si>
  <si>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</si>
  <si>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</si>
  <si>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</si>
  <si>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</si>
  <si>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</si>
  <si>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</si>
  <si>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</si>
  <si>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</si>
  <si>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</si>
  <si>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</si>
  <si>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</si>
  <si>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</si>
  <si>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</si>
  <si>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</si>
  <si>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</si>
  <si>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</si>
  <si>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</si>
  <si>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</si>
  <si>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</si>
  <si>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</si>
  <si>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</si>
  <si>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</si>
  <si>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</si>
  <si>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</si>
  <si>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</si>
  <si>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</si>
  <si>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</si>
  <si>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</si>
  <si>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</si>
  <si>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</si>
  <si>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</si>
  <si>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</si>
  <si>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</si>
  <si>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</si>
  <si>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</si>
  <si>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</si>
  <si>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</si>
  <si>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</si>
  <si>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</si>
  <si>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</si>
  <si>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</si>
  <si>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</si>
  <si>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</si>
  <si>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</si>
  <si>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</si>
  <si>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</si>
  <si>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</si>
  <si>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</si>
  <si>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</si>
  <si>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</si>
  <si>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</si>
  <si>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</si>
  <si>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</si>
  <si>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</si>
  <si>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</si>
  <si>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</si>
  <si>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</si>
  <si>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</si>
  <si>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</si>
  <si>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</si>
  <si>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</si>
  <si>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</si>
  <si>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</si>
  <si>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</si>
  <si>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</si>
  <si>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</si>
  <si>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</si>
  <si>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</si>
  <si>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</si>
  <si>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</si>
  <si>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</si>
  <si>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</si>
  <si>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</si>
  <si>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</si>
  <si>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</si>
  <si>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</si>
  <si>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</si>
  <si>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</si>
  <si>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</si>
  <si>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</si>
  <si>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</si>
  <si>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</si>
  <si>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</si>
  <si>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</si>
  <si>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</si>
  <si>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</si>
  <si>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</si>
  <si>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</si>
  <si>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</si>
  <si>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</si>
  <si>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</si>
  <si>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</si>
  <si>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</si>
  <si>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</si>
  <si>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</si>
  <si>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</si>
  <si>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</si>
  <si>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</si>
  <si>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</si>
  <si>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</si>
  <si>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</si>
  <si>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</si>
  <si>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</si>
  <si>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</si>
  <si>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</si>
  <si>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</si>
  <si>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</si>
  <si>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</si>
  <si>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</si>
  <si>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</si>
  <si>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</si>
  <si>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</si>
  <si>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</si>
  <si>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</si>
  <si>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</si>
  <si>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</si>
  <si>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</si>
  <si>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</si>
  <si>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</si>
  <si>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</si>
  <si>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</si>
  <si>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</si>
  <si>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</si>
  <si>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</si>
  <si>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</si>
  <si>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</si>
  <si>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</si>
  <si>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</si>
  <si>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</si>
  <si>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</si>
  <si>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</si>
  <si>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</si>
  <si>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</si>
  <si>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</si>
  <si>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</si>
  <si>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</si>
  <si>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</si>
  <si>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</si>
  <si>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</si>
  <si>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</si>
  <si>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</si>
  <si>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</si>
  <si>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</si>
  <si>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</si>
  <si>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</si>
  <si>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</si>
  <si>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</si>
  <si>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</si>
  <si>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</si>
  <si>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</si>
  <si>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</si>
  <si>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</si>
  <si>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</si>
  <si>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</si>
  <si>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</si>
  <si>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</si>
  <si>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</si>
  <si>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</si>
  <si>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</si>
  <si>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</si>
  <si>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</si>
  <si>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</si>
  <si>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</si>
  <si>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</si>
  <si>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</si>
  <si>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</si>
  <si>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</si>
  <si>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</si>
  <si>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</si>
  <si>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</si>
  <si>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</si>
  <si>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</si>
  <si>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</si>
  <si>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</si>
  <si>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</si>
  <si>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</si>
  <si>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</si>
  <si>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</si>
  <si>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</si>
  <si>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</si>
  <si>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</si>
  <si>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</si>
  <si>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</si>
  <si>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</si>
  <si>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</si>
  <si>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</si>
  <si>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</si>
  <si>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</si>
  <si>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</si>
  <si>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</si>
  <si>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</si>
  <si>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</si>
  <si>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</si>
  <si>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</si>
  <si>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</si>
  <si>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</si>
  <si>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</si>
  <si>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</si>
  <si>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</si>
  <si>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</si>
  <si>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</si>
  <si>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</si>
  <si>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</si>
  <si>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</si>
  <si>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</si>
  <si>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</si>
  <si>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</si>
  <si>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</si>
  <si>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</si>
  <si>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</si>
  <si>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</si>
  <si>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</si>
  <si>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</si>
  <si>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</si>
  <si>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</si>
  <si>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</si>
  <si>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</si>
  <si>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</si>
  <si>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</si>
  <si>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</si>
  <si>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</si>
  <si>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</si>
  <si>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</si>
  <si>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</si>
  <si>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</si>
  <si>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</si>
  <si>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</si>
  <si>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</si>
  <si>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</si>
  <si>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</si>
  <si>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</si>
  <si>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</si>
  <si>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</si>
  <si>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</si>
  <si>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</si>
  <si>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</si>
  <si>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</si>
  <si>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</si>
  <si>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</si>
  <si>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</si>
  <si>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</si>
  <si>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</si>
  <si>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</si>
  <si>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</si>
  <si>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</si>
  <si>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</si>
  <si>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</si>
  <si>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</si>
  <si>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</si>
  <si>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</si>
  <si>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</si>
  <si>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</si>
  <si>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</si>
  <si>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</si>
  <si>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</si>
  <si>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</si>
  <si>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</si>
  <si>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</si>
  <si>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</si>
  <si>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</si>
  <si>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</si>
  <si>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</si>
  <si>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</si>
  <si>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</si>
  <si>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</si>
  <si>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</si>
  <si>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</si>
  <si>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</si>
  <si>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</si>
  <si>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</si>
  <si>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</si>
  <si>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</si>
  <si>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</si>
  <si>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</si>
  <si>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</si>
  <si>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</si>
  <si>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</si>
  <si>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</si>
  <si>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</si>
  <si>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</si>
  <si>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</si>
  <si>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</si>
  <si>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</si>
  <si>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</si>
  <si>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</si>
  <si>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</si>
  <si>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</si>
  <si>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</si>
  <si>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</si>
  <si>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</si>
  <si>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</si>
  <si>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</si>
  <si>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</si>
  <si>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</si>
  <si>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</si>
  <si>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</si>
  <si>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</si>
  <si>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</si>
  <si>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</si>
  <si>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</si>
  <si>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</si>
  <si>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</si>
  <si>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</si>
  <si>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</si>
  <si>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</si>
  <si>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</si>
  <si>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</si>
  <si>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</si>
  <si>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</si>
  <si>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</si>
  <si>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</si>
  <si>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</si>
  <si>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</si>
  <si>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</si>
  <si>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</si>
  <si>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</si>
  <si>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</si>
  <si>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</si>
  <si>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</si>
  <si>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</si>
  <si>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</si>
  <si>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</si>
  <si>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</si>
  <si>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</si>
  <si>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</si>
  <si>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</si>
  <si>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</si>
  <si>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</si>
  <si>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</si>
  <si>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</si>
  <si>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</si>
  <si>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</si>
  <si>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</si>
  <si>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</si>
  <si>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</si>
  <si>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</si>
  <si>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</si>
  <si>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</si>
  <si>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</si>
  <si>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</si>
  <si>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</si>
  <si>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</si>
  <si>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</si>
  <si>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</si>
  <si>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</si>
  <si>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</si>
  <si>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</si>
  <si>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</si>
  <si>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</si>
  <si>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</si>
  <si>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</si>
  <si>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</si>
  <si>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</si>
  <si>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</si>
  <si>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</si>
  <si>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</si>
  <si>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</si>
  <si>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</si>
  <si>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</si>
  <si>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</si>
  <si>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</si>
  <si>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</si>
  <si>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</si>
  <si>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</si>
  <si>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</si>
  <si>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</si>
  <si>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</si>
  <si>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</si>
  <si>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</si>
  <si>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</si>
  <si>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</si>
  <si>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</si>
  <si>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</si>
  <si>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</si>
  <si>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</si>
  <si>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</si>
  <si>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</si>
  <si>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</si>
  <si>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</si>
  <si>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</si>
  <si>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</si>
  <si>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</si>
  <si>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</si>
  <si>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</si>
  <si>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</si>
  <si>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</si>
  <si>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</si>
  <si>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</si>
  <si>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</si>
  <si>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</si>
  <si>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</si>
  <si>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</si>
  <si>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</si>
  <si>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</si>
  <si>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</si>
  <si>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</si>
  <si>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</si>
  <si>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</si>
  <si>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</si>
  <si>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</si>
  <si>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</si>
  <si>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</si>
  <si>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</si>
  <si>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</si>
  <si>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</si>
  <si>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</si>
  <si>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</si>
  <si>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</si>
  <si>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</si>
  <si>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</si>
  <si>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</si>
  <si>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</si>
  <si>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</si>
  <si>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</si>
  <si>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</si>
  <si>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</si>
  <si>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</si>
  <si>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</si>
  <si>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</si>
  <si>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</si>
  <si>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</si>
  <si>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</si>
  <si>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</si>
  <si>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</si>
  <si>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</si>
  <si>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</si>
  <si>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</si>
  <si>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</si>
  <si>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</si>
  <si>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</si>
  <si>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</si>
  <si>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</si>
  <si>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</si>
  <si>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</si>
  <si>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</si>
  <si>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</si>
  <si>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</si>
  <si>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</si>
  <si>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</si>
  <si>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</si>
  <si>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</si>
  <si>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</si>
  <si>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</si>
  <si>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</si>
  <si>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</si>
  <si>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</si>
  <si>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</si>
  <si>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</si>
  <si>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</si>
  <si>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</si>
  <si>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</si>
  <si>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</si>
  <si>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</si>
  <si>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</si>
  <si>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</si>
  <si>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</si>
  <si>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</si>
  <si>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</si>
  <si>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</si>
  <si>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</si>
  <si>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</si>
  <si>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</si>
  <si>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</si>
  <si>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</si>
  <si>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</si>
  <si>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</si>
  <si>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</si>
  <si>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</si>
  <si>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</si>
  <si>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</si>
  <si>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</si>
  <si>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</si>
  <si>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</si>
  <si>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</si>
  <si>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</si>
  <si>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</si>
  <si>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</si>
  <si>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</si>
  <si>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</si>
  <si>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</si>
  <si>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</si>
  <si>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</si>
  <si>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</si>
  <si>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</si>
  <si>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</si>
  <si>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</si>
  <si>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</si>
  <si>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</si>
  <si>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</si>
  <si>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</si>
  <si>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</si>
  <si>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</si>
  <si>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</si>
  <si>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</si>
  <si>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</si>
  <si>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</si>
  <si>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</si>
  <si>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</si>
  <si>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</si>
  <si>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</si>
  <si>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</si>
  <si>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</si>
  <si>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</si>
  <si>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</si>
  <si>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</si>
  <si>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</si>
  <si>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</si>
  <si>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</si>
  <si>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</si>
  <si>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</si>
  <si>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</si>
  <si>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</si>
  <si>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</si>
  <si>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</si>
  <si>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</si>
  <si>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</si>
  <si>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</si>
  <si>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</si>
  <si>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</si>
  <si>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</si>
  <si>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</si>
  <si>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</si>
  <si>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</si>
  <si>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</si>
  <si>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</si>
  <si>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</si>
  <si>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</si>
  <si>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</si>
  <si>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</si>
  <si>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</si>
  <si>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</si>
  <si>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</si>
  <si>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</si>
  <si>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</si>
  <si>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</si>
  <si>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</si>
  <si>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</si>
  <si>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</si>
  <si>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</si>
  <si>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</si>
  <si>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</si>
  <si>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</si>
  <si>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</si>
  <si>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</si>
  <si>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</si>
  <si>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</si>
  <si>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</si>
  <si>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</si>
  <si>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</si>
  <si>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</si>
  <si>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</si>
  <si>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</si>
  <si>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</si>
  <si>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</si>
  <si>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</si>
  <si>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</si>
  <si>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</si>
  <si>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</si>
  <si>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</si>
  <si>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</si>
  <si>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</si>
  <si>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</si>
  <si>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</si>
  <si>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</si>
  <si>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</si>
  <si>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</si>
  <si>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</si>
  <si>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</si>
  <si>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</si>
  <si>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</si>
  <si>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</si>
  <si>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</si>
  <si>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</si>
  <si>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</si>
  <si>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</si>
  <si>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</si>
  <si>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</si>
  <si>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</si>
  <si>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</si>
  <si>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</si>
  <si>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</si>
  <si>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</si>
  <si>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</si>
  <si>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</si>
  <si>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</si>
  <si>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</si>
  <si>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</si>
  <si>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</si>
  <si>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</si>
  <si>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</si>
  <si>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</si>
  <si>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</si>
  <si>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</si>
  <si>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</si>
  <si>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</si>
  <si>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</si>
  <si>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</si>
  <si>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</si>
  <si>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</si>
  <si>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</si>
  <si>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</si>
  <si>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</si>
  <si>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</si>
  <si>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</si>
  <si>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</si>
  <si>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</si>
  <si>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</si>
  <si>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</si>
  <si>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</si>
  <si>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</si>
  <si>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</si>
  <si>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</si>
  <si>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</si>
  <si>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</si>
  <si>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</si>
  <si>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</si>
  <si>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</si>
  <si>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</si>
  <si>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</si>
  <si>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</si>
  <si>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</si>
  <si>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</si>
  <si>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</si>
  <si>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</si>
  <si>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</si>
  <si>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</si>
  <si>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</si>
  <si>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</si>
  <si>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</si>
  <si>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</si>
  <si>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</si>
  <si>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</si>
  <si>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</si>
  <si>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</si>
  <si>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</si>
  <si>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</si>
  <si>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</si>
  <si>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</si>
  <si>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</si>
  <si>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</si>
  <si>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</si>
  <si>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</si>
  <si>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</si>
  <si>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</si>
  <si>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</si>
  <si>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</si>
  <si>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</si>
  <si>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</si>
  <si>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</si>
  <si>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</si>
  <si>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</si>
  <si>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</si>
  <si>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</si>
  <si>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</si>
  <si>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</si>
  <si>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</si>
  <si>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</si>
  <si>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</si>
  <si>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</si>
  <si>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</si>
  <si>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</si>
  <si>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</si>
  <si>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</si>
  <si>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</si>
  <si>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</si>
  <si>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</si>
  <si>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</si>
  <si>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</si>
  <si>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</si>
  <si>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</si>
  <si>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</si>
  <si>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</si>
  <si>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</si>
  <si>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</si>
  <si>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</si>
  <si>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</si>
  <si>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</si>
  <si>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</si>
  <si>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</si>
  <si>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</si>
  <si>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</si>
  <si>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</si>
  <si>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</si>
  <si>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</si>
  <si>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</si>
  <si>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</si>
  <si>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</si>
  <si>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</si>
  <si>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</si>
  <si>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</si>
  <si>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</si>
  <si>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</si>
  <si>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</si>
  <si>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</si>
  <si>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</si>
  <si>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</si>
  <si>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</si>
  <si>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</si>
  <si>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</si>
  <si>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</si>
  <si>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</si>
  <si>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</si>
  <si>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</si>
  <si>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</si>
  <si>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</si>
  <si>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</si>
  <si>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</si>
  <si>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</si>
  <si>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</si>
  <si>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</si>
  <si>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</si>
  <si>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</si>
  <si>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</si>
  <si>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</si>
  <si>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</si>
  <si>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</si>
  <si>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</si>
  <si>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</si>
  <si>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</si>
  <si>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</si>
  <si>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</si>
  <si>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</si>
  <si>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</si>
  <si>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</si>
  <si>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</si>
  <si>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</si>
  <si>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</si>
  <si>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</si>
  <si>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</si>
  <si>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</si>
  <si>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</si>
  <si>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</si>
  <si>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</si>
  <si>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</si>
  <si>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</si>
  <si>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</si>
  <si>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</si>
  <si>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</si>
  <si>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</si>
  <si>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</si>
  <si>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</si>
  <si>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</si>
  <si>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</si>
  <si>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</si>
  <si>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</si>
  <si>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</si>
  <si>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</si>
  <si>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</si>
  <si>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</si>
  <si>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</si>
  <si>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</si>
  <si>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</si>
  <si>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</si>
  <si>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</si>
  <si>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</si>
  <si>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</si>
  <si>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</si>
  <si>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</si>
  <si>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</si>
  <si>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</si>
  <si>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</si>
  <si>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</si>
  <si>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</si>
  <si>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</si>
  <si>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</si>
  <si>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</si>
  <si>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</si>
  <si>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</si>
  <si>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</si>
  <si>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</si>
  <si>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</si>
  <si>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</si>
  <si>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</si>
  <si>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</si>
  <si>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</si>
  <si>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</si>
  <si>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</si>
  <si>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</si>
  <si>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</si>
  <si>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</si>
  <si>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</si>
  <si>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</si>
  <si>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</si>
  <si>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</si>
  <si>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</si>
  <si>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</si>
  <si>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</si>
  <si>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</si>
  <si>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</si>
  <si>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</si>
  <si>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</si>
  <si>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</si>
  <si>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</si>
  <si>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</si>
  <si>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</si>
  <si>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</si>
  <si>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</si>
  <si>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</si>
  <si>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</si>
  <si>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</si>
  <si>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</si>
  <si>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</si>
  <si>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</si>
  <si>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</si>
  <si>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</si>
  <si>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</si>
  <si>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</si>
  <si>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</si>
  <si>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</si>
  <si>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</si>
  <si>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</si>
  <si>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</si>
  <si>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</si>
  <si>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</si>
  <si>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</si>
  <si>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</si>
  <si>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</si>
  <si>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</si>
  <si>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</si>
  <si>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</si>
  <si>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</si>
  <si>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</si>
  <si>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</si>
  <si>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</si>
  <si>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</si>
  <si>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</si>
  <si>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</si>
  <si>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</si>
  <si>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</si>
  <si>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</si>
  <si>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</si>
  <si>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</si>
  <si>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</si>
  <si>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</si>
  <si>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</si>
  <si>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</si>
  <si>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</si>
  <si>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</si>
  <si>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</si>
  <si>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</si>
  <si>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</si>
  <si>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</si>
  <si>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</si>
  <si>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</si>
  <si>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</si>
  <si>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</si>
  <si>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</si>
  <si>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</si>
  <si>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</si>
  <si>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</si>
  <si>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</si>
  <si>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</si>
  <si>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</si>
  <si>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</si>
  <si>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</si>
  <si>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</si>
  <si>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</si>
  <si>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</si>
  <si>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</si>
  <si>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</si>
  <si>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</si>
  <si>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</si>
  <si>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</si>
  <si>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</si>
  <si>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</si>
  <si>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</si>
  <si>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</si>
  <si>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</si>
  <si>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</si>
  <si>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</si>
  <si>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</si>
  <si>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</si>
  <si>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</si>
  <si>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</si>
  <si>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</si>
  <si>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</si>
  <si>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</si>
  <si>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</si>
  <si>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</si>
  <si>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</si>
  <si>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</si>
  <si>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</si>
  <si>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</si>
  <si>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</si>
  <si>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</si>
  <si>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</si>
  <si>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</si>
  <si>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</si>
  <si>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</si>
  <si>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</si>
  <si>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</si>
  <si>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</si>
  <si>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</si>
  <si>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</si>
  <si>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</si>
  <si>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</si>
  <si>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</si>
  <si>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</si>
  <si>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</si>
  <si>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</si>
  <si>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</si>
  <si>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</si>
  <si>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</si>
  <si>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</si>
  <si>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</si>
  <si>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</si>
  <si>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</si>
  <si>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</si>
  <si>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</si>
  <si>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</si>
  <si>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</si>
  <si>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</si>
  <si>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</si>
  <si>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</si>
  <si>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</si>
  <si>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</si>
  <si>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</si>
  <si>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</si>
  <si>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</si>
  <si>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</si>
  <si>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</si>
  <si>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</si>
  <si>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</si>
  <si>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</si>
  <si>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</si>
  <si>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</si>
  <si>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</si>
  <si>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</si>
  <si>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</si>
  <si>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</si>
  <si>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</si>
  <si>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</si>
  <si>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</si>
  <si>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</si>
  <si>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</si>
  <si>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</si>
  <si>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</si>
  <si>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</si>
  <si>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</si>
  <si>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</si>
  <si>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</si>
  <si>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</si>
  <si>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</si>
  <si>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</si>
  <si>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</si>
  <si>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</si>
  <si>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</si>
  <si>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</si>
  <si>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</si>
  <si>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</si>
  <si>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</si>
  <si>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</si>
  <si>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</si>
  <si>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</si>
  <si>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</si>
  <si>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</si>
  <si>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</si>
  <si>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</si>
  <si>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</si>
  <si>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</si>
  <si>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</si>
  <si>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</si>
  <si>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</si>
  <si>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</si>
  <si>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</si>
  <si>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</si>
  <si>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</si>
  <si>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</si>
  <si>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</si>
  <si>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</si>
  <si>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</si>
  <si>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</si>
  <si>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</si>
  <si>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</si>
  <si>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</si>
  <si>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</si>
  <si>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</si>
  <si>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</si>
  <si>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</si>
  <si>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</si>
  <si>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</si>
  <si>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</si>
  <si>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</si>
  <si>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</si>
  <si>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</si>
  <si>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</si>
  <si>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</si>
  <si>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</si>
  <si>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</si>
  <si>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</si>
  <si>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</si>
  <si>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</si>
  <si>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</si>
  <si>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</si>
  <si>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</si>
  <si>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</si>
  <si>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</si>
  <si>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</si>
  <si>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</si>
  <si>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</si>
  <si>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</si>
  <si>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</si>
  <si>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</si>
  <si>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</si>
  <si>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</si>
  <si>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</si>
  <si>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</si>
  <si>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</si>
  <si>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</si>
  <si>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</si>
  <si>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</si>
  <si>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</si>
  <si>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</si>
  <si>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</si>
  <si>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</si>
  <si>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</si>
  <si>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</si>
  <si>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</si>
  <si>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</si>
  <si>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</si>
  <si>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</si>
  <si>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</si>
  <si>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</si>
  <si>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</si>
  <si>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</si>
  <si>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</si>
  <si>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</si>
  <si>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</si>
  <si>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</si>
  <si>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</si>
  <si>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</si>
  <si>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</si>
  <si>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</si>
  <si>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</si>
  <si>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</si>
  <si>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</si>
  <si>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</si>
  <si>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</si>
  <si>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</si>
  <si>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</si>
  <si>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</si>
  <si>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</si>
  <si>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</si>
  <si>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</si>
  <si>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</si>
  <si>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</si>
  <si>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</si>
  <si>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</si>
  <si>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</si>
  <si>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</si>
  <si>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</si>
  <si>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</si>
  <si>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</si>
  <si>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</si>
  <si>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</si>
  <si>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</si>
  <si>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</si>
  <si>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</si>
  <si>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</si>
  <si>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</si>
  <si>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</si>
  <si>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</si>
  <si>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</si>
  <si>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</si>
  <si>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</si>
  <si>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</si>
  <si>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</si>
  <si>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</si>
  <si>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</si>
  <si>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</si>
  <si>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</si>
  <si>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</si>
  <si>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</si>
  <si>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</si>
  <si>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</si>
  <si>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</si>
  <si>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</si>
  <si>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</si>
  <si>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</si>
  <si>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</si>
  <si>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</si>
  <si>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</si>
  <si>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</si>
  <si>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</si>
  <si>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</si>
  <si>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</si>
  <si>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</si>
  <si>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</si>
  <si>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</si>
  <si>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</si>
  <si>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</si>
  <si>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</si>
  <si>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</si>
  <si>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</si>
  <si>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</si>
  <si>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</si>
  <si>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</si>
  <si>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</si>
  <si>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</si>
  <si>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</si>
  <si>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</si>
  <si>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</si>
  <si>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</si>
  <si>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</si>
  <si>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</si>
  <si>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</si>
  <si>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</si>
  <si>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</si>
  <si>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</si>
  <si>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</si>
  <si>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</si>
  <si>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</si>
  <si>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</si>
  <si>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</si>
  <si>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</si>
  <si>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</si>
  <si>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</si>
  <si>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</si>
  <si>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</si>
  <si>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</si>
  <si>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</si>
  <si>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</si>
  <si>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</si>
  <si>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</si>
  <si>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</si>
  <si>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</si>
  <si>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</si>
  <si>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</si>
  <si>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</si>
  <si>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</si>
  <si>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</si>
  <si>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</si>
  <si>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</si>
  <si>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</si>
  <si>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</si>
  <si>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</si>
  <si>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</si>
  <si>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</si>
  <si>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</si>
  <si>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</si>
  <si>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</si>
  <si>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</si>
  <si>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</si>
  <si>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</si>
  <si>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</si>
  <si>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</si>
  <si>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</si>
  <si>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</si>
  <si>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</si>
  <si>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</si>
  <si>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</si>
  <si>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</si>
  <si>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</si>
  <si>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</si>
  <si>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</si>
  <si>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</si>
  <si>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</si>
  <si>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</si>
  <si>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</si>
  <si>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</si>
  <si>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</si>
  <si>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</si>
  <si>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</si>
  <si>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</si>
  <si>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</si>
  <si>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</si>
  <si>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</si>
  <si>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</si>
  <si>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</si>
  <si>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</si>
  <si>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</si>
  <si>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</si>
  <si>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</si>
  <si>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</si>
  <si>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</si>
  <si>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</si>
  <si>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</si>
  <si>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</si>
  <si>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</si>
  <si>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</si>
  <si>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</si>
  <si>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</si>
  <si>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</si>
  <si>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</si>
  <si>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</si>
  <si>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</si>
  <si>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</si>
  <si>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</si>
  <si>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</si>
  <si>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</si>
  <si>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</si>
  <si>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</si>
  <si>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</si>
  <si>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</si>
  <si>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</si>
  <si>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</si>
  <si>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</si>
  <si>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</si>
  <si>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</si>
  <si>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</si>
  <si>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</si>
  <si>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</si>
  <si>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</si>
  <si>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</si>
  <si>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</si>
  <si>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</si>
  <si>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</si>
  <si>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</si>
  <si>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</si>
  <si>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</si>
  <si>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</si>
  <si>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</si>
  <si>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</si>
  <si>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</si>
  <si>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</si>
  <si>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</si>
  <si>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</si>
  <si>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</si>
  <si>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</si>
  <si>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</si>
  <si>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</si>
  <si>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</si>
  <si>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</si>
  <si>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</si>
  <si>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</si>
  <si>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</si>
  <si>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</si>
  <si>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</si>
  <si>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</si>
  <si>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</si>
  <si>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</si>
  <si>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</si>
  <si>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</si>
  <si>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</si>
  <si>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</si>
  <si>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</si>
  <si>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</si>
  <si>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</si>
  <si>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</si>
  <si>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</si>
  <si>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</si>
  <si>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</si>
  <si>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</si>
  <si>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</si>
  <si>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</si>
  <si>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</si>
  <si>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</si>
  <si>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</si>
  <si>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</si>
  <si>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</si>
  <si>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</si>
  <si>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</si>
  <si>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</si>
  <si>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</si>
  <si>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</si>
  <si>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</si>
  <si>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</si>
  <si>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</si>
  <si>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</si>
  <si>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</si>
  <si>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</si>
  <si>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</si>
  <si>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</si>
  <si>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</si>
  <si>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</si>
  <si>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</si>
  <si>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</si>
  <si>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</si>
  <si>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</si>
  <si>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</si>
  <si>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</si>
  <si>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</si>
  <si>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</si>
  <si>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</si>
  <si>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</si>
  <si>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</si>
  <si>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</si>
  <si>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</si>
  <si>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</si>
  <si>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</si>
  <si>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</si>
  <si>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</si>
  <si>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</si>
  <si>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</si>
  <si>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</si>
  <si>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</si>
  <si>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</si>
  <si>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</si>
  <si>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</si>
  <si>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</si>
  <si>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</si>
  <si>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</si>
  <si>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</si>
  <si>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</si>
  <si>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</si>
  <si>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</si>
  <si>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</si>
  <si>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</si>
  <si>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</si>
  <si>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</si>
  <si>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</si>
  <si>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</si>
  <si>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</si>
  <si>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</si>
  <si>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</si>
  <si>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</si>
  <si>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</si>
  <si>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</si>
  <si>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</si>
  <si>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</si>
  <si>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</si>
  <si>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</si>
  <si>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</si>
  <si>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</si>
  <si>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</si>
  <si>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</si>
  <si>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</si>
  <si>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</si>
  <si>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</si>
  <si>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</si>
  <si>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</si>
  <si>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</si>
  <si>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</si>
  <si>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</si>
  <si>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</si>
  <si>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</si>
  <si>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</si>
  <si>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</si>
  <si>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</si>
  <si>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</si>
  <si>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</si>
  <si>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</si>
  <si>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</si>
  <si>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</si>
  <si>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</si>
  <si>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</si>
  <si>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</si>
  <si>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</si>
  <si>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</si>
  <si>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</si>
  <si>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</si>
  <si>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</si>
  <si>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</si>
  <si>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</si>
  <si>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</si>
  <si>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</si>
  <si>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</si>
  <si>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</si>
  <si>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</si>
  <si>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</si>
  <si>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</si>
  <si>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</si>
  <si>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</si>
  <si>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</si>
  <si>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</si>
  <si>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</si>
  <si>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</si>
  <si>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</si>
  <si>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</si>
  <si>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</si>
  <si>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</si>
  <si>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</si>
  <si>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</si>
  <si>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</si>
  <si>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</si>
  <si>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</si>
  <si>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</si>
  <si>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</si>
  <si>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</si>
  <si>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</si>
  <si>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</si>
  <si>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</si>
  <si>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</si>
  <si>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</si>
  <si>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</si>
  <si>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</si>
  <si>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</si>
  <si>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</si>
  <si>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</si>
  <si>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</si>
  <si>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</si>
  <si>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</si>
  <si>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</si>
  <si>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</si>
  <si>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</si>
  <si>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</si>
  <si>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</si>
  <si>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</si>
  <si>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</si>
  <si>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</si>
  <si>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</si>
  <si>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</si>
  <si>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</si>
  <si>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</si>
  <si>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</si>
  <si>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</si>
  <si>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</si>
  <si>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</si>
  <si>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</si>
  <si>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</si>
  <si>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</si>
  <si>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</si>
  <si>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</si>
  <si>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</si>
  <si>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</si>
  <si>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</si>
  <si>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</si>
  <si>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</si>
  <si>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</si>
  <si>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</si>
  <si>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</si>
  <si>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</si>
  <si>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</si>
  <si>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</si>
  <si>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</si>
  <si>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</si>
  <si>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</si>
  <si>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</si>
  <si>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</si>
  <si>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</si>
  <si>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</si>
  <si>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</si>
  <si>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</si>
  <si>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</si>
  <si>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</si>
  <si>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</si>
  <si>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</si>
  <si>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</si>
  <si>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</si>
  <si>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</si>
  <si>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</si>
  <si>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</si>
  <si>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</si>
  <si>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</si>
  <si>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</si>
  <si>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</si>
  <si>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</si>
  <si>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</si>
  <si>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</si>
  <si>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</si>
  <si>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</si>
  <si>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</si>
  <si>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</si>
  <si>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</si>
  <si>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</si>
  <si>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</si>
  <si>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</si>
  <si>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</si>
  <si>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</si>
  <si>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</si>
  <si>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</si>
  <si>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</si>
  <si>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</si>
  <si>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</si>
  <si>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</si>
  <si>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</si>
  <si>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</si>
  <si>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</si>
  <si>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</si>
  <si>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</si>
  <si>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</si>
  <si>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</si>
  <si>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</si>
  <si>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</si>
  <si>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</si>
  <si>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</si>
  <si>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</si>
  <si>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</si>
  <si>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</si>
  <si>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</si>
  <si>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</si>
  <si>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</si>
  <si>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</si>
  <si>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</si>
  <si>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</si>
  <si>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</si>
  <si>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</si>
  <si>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</si>
  <si>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</si>
  <si>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</si>
  <si>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</si>
  <si>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</si>
  <si>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</si>
  <si>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</si>
  <si>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</si>
  <si>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</si>
  <si>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</si>
  <si>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</si>
  <si>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</si>
  <si>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</si>
  <si>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</si>
  <si>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</si>
  <si>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</si>
  <si>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</si>
  <si>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</si>
  <si>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</si>
  <si>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</si>
  <si>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</si>
  <si>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</si>
  <si>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</si>
  <si>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</si>
  <si>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</si>
  <si>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</si>
  <si>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</si>
  <si>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</si>
  <si>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</si>
  <si>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</si>
  <si>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</si>
  <si>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</si>
  <si>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</si>
  <si>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</si>
  <si>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</si>
  <si>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</si>
  <si>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</si>
  <si>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</si>
  <si>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</si>
  <si>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</si>
  <si>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</si>
  <si>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</si>
  <si>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</si>
  <si>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</si>
  <si>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</si>
  <si>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</si>
  <si>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</si>
  <si>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</si>
  <si>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</si>
  <si>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</si>
  <si>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</si>
  <si>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</si>
  <si>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</si>
  <si>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</si>
  <si>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</si>
  <si>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</si>
  <si>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</si>
  <si>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</si>
  <si>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</si>
  <si>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</si>
  <si>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</si>
  <si>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</si>
  <si>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</si>
  <si>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</si>
  <si>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</si>
  <si>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</si>
  <si>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</si>
  <si>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</si>
  <si>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</si>
  <si>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</si>
  <si>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</si>
  <si>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</si>
  <si>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</si>
  <si>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</si>
  <si>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</si>
  <si>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</si>
  <si>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</si>
  <si>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</si>
  <si>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</si>
  <si>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</si>
  <si>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</si>
  <si>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</si>
  <si>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</si>
  <si>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</si>
  <si>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</si>
  <si>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</si>
  <si>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</si>
  <si>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</si>
  <si>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</si>
  <si>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</si>
  <si>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</si>
  <si>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</si>
  <si>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</si>
  <si>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</si>
  <si>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</si>
  <si>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</si>
  <si>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</si>
  <si>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</si>
  <si>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</si>
  <si>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</si>
  <si>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</si>
  <si>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</si>
  <si>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</si>
  <si>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</si>
  <si>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</si>
  <si>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</si>
  <si>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</si>
  <si>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</si>
  <si>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</si>
  <si>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</si>
  <si>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</si>
  <si>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</si>
  <si>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</si>
  <si>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</si>
  <si>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</si>
  <si>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</si>
  <si>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</si>
  <si>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</si>
  <si>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</si>
  <si>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</si>
  <si>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</si>
  <si>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</si>
  <si>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</si>
  <si>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</si>
  <si>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</si>
  <si>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</si>
  <si>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</si>
  <si>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</si>
  <si>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</si>
  <si>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</si>
  <si>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</si>
  <si>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</si>
  <si>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</si>
  <si>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</si>
  <si>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</si>
  <si>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</si>
  <si>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</si>
  <si>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</si>
  <si>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</si>
  <si>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</si>
  <si>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</si>
  <si>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</si>
  <si>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</si>
  <si>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</si>
  <si>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</si>
  <si>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</si>
  <si>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</si>
  <si>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</si>
  <si>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</si>
  <si>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</si>
  <si>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</si>
  <si>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</si>
  <si>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</si>
  <si>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</si>
  <si>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</si>
  <si>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</si>
  <si>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</si>
  <si>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</si>
  <si>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</si>
  <si>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</si>
  <si>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</si>
  <si>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</si>
  <si>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</si>
  <si>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</si>
  <si>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</si>
  <si>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</si>
  <si>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</si>
  <si>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</si>
  <si>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</si>
  <si>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</si>
  <si>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</si>
  <si>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</si>
  <si>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</si>
  <si>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</si>
  <si>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</si>
  <si>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</si>
  <si>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</si>
  <si>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</si>
  <si>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</si>
  <si>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</si>
  <si>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</si>
  <si>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</si>
  <si>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</si>
  <si>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</si>
  <si>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</si>
  <si>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</si>
  <si>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</si>
  <si>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</si>
  <si>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</si>
  <si>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</si>
  <si>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</si>
  <si>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</si>
  <si>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</si>
  <si>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</si>
  <si>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</si>
  <si>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</si>
  <si>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</si>
  <si>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</si>
  <si>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</si>
  <si>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</si>
  <si>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</si>
  <si>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</si>
  <si>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</si>
  <si>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</si>
  <si>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</si>
  <si>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</si>
  <si>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</si>
  <si>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</si>
  <si>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</si>
  <si>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</si>
  <si>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</si>
  <si>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</si>
  <si>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</si>
  <si>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</si>
  <si>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</si>
  <si>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</si>
  <si>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</si>
  <si>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</si>
  <si>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</si>
  <si>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</si>
  <si>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</si>
  <si>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</si>
  <si>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</si>
  <si>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</si>
  <si>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</si>
  <si>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</si>
  <si>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</si>
  <si>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</si>
  <si>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</si>
  <si>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</si>
  <si>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</si>
  <si>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</si>
  <si>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</si>
  <si>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</si>
  <si>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</si>
  <si>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</si>
  <si>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</si>
  <si>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</si>
  <si>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</si>
  <si>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</si>
  <si>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</si>
  <si>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</si>
  <si>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</si>
  <si>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</si>
  <si>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</si>
  <si>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</si>
  <si>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</si>
  <si>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</si>
  <si>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</si>
  <si>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</si>
  <si>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</si>
  <si>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</si>
  <si>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</si>
  <si>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</si>
  <si>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</si>
  <si>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</si>
  <si>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</si>
  <si>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</si>
  <si>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</si>
  <si>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</si>
  <si>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</si>
  <si>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</si>
  <si>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</si>
  <si>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</si>
  <si>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</si>
  <si>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</si>
  <si>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</si>
  <si>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</si>
  <si>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</si>
  <si>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</si>
  <si>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</si>
  <si>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</si>
  <si>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</si>
  <si>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</si>
  <si>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</si>
  <si>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</si>
  <si>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</si>
  <si>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</si>
  <si>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</si>
  <si>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</si>
  <si>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</si>
  <si>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</si>
  <si>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</si>
  <si>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</si>
  <si>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</si>
  <si>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</si>
  <si>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</si>
  <si>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</si>
  <si>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</si>
  <si>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</si>
  <si>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</si>
  <si>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</si>
  <si>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</si>
  <si>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</si>
  <si>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</si>
  <si>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</si>
  <si>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</si>
  <si>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</si>
  <si>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</si>
  <si>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</si>
  <si>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</si>
  <si>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</si>
  <si>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</si>
  <si>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</si>
  <si>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</si>
  <si>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</si>
  <si>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</si>
  <si>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</si>
  <si>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</si>
  <si>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</si>
  <si>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</si>
  <si>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</si>
  <si>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</si>
  <si>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</si>
  <si>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</si>
  <si>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</si>
  <si>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</si>
  <si>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</si>
  <si>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</si>
  <si>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</si>
  <si>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</si>
  <si>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</si>
  <si>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</si>
  <si>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</si>
  <si>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</si>
  <si>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</si>
  <si>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</si>
  <si>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</si>
  <si>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</si>
  <si>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</si>
  <si>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</si>
  <si>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</si>
  <si>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</si>
  <si>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</si>
  <si>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</si>
  <si>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</si>
  <si>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</si>
  <si>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</si>
  <si>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</si>
  <si>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</si>
  <si>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</si>
  <si>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</si>
  <si>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</si>
  <si>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</si>
  <si>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</si>
  <si>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</si>
  <si>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</si>
  <si>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</si>
  <si>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</si>
  <si>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</si>
  <si>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</si>
  <si>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</si>
  <si>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</si>
  <si>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</si>
  <si>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</si>
  <si>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</si>
  <si>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</si>
  <si>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</si>
  <si>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</si>
  <si>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</si>
  <si>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</si>
  <si>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</si>
  <si>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</si>
  <si>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</si>
  <si>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</si>
  <si>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</si>
  <si>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</si>
  <si>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</si>
  <si>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</si>
  <si>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</si>
  <si>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</si>
  <si>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</si>
  <si>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</si>
  <si>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</si>
  <si>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</si>
  <si>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</si>
  <si>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</si>
  <si>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</si>
  <si>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</si>
  <si>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</si>
  <si>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</si>
  <si>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</si>
  <si>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</si>
  <si>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</si>
  <si>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</si>
  <si>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</si>
  <si>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</si>
  <si>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</si>
  <si>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</si>
  <si>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</si>
  <si>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</si>
  <si>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</si>
  <si>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</si>
  <si>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</si>
  <si>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</si>
  <si>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</si>
  <si>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</si>
  <si>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</si>
  <si>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</si>
  <si>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</si>
  <si>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</si>
  <si>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</si>
  <si>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</si>
  <si>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</si>
  <si>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</si>
  <si>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</si>
  <si>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</si>
  <si>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</si>
  <si>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</si>
  <si>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</si>
  <si>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</si>
  <si>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</si>
  <si>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</si>
  <si>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</si>
  <si>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</si>
  <si>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</si>
  <si>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</si>
  <si>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</si>
  <si>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</si>
  <si>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</si>
  <si>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</si>
  <si>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</si>
  <si>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</si>
  <si>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</si>
  <si>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</si>
  <si>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</si>
  <si>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</si>
  <si>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</si>
  <si>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</si>
  <si>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</si>
  <si>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</si>
  <si>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</si>
  <si>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</si>
  <si>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</si>
  <si>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</si>
  <si>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</si>
  <si>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</si>
  <si>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</si>
  <si>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</si>
  <si>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</si>
  <si>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</si>
  <si>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</si>
  <si>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</si>
  <si>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</si>
  <si>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</si>
  <si>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</si>
  <si>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</si>
  <si>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</si>
  <si>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</si>
  <si>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</si>
  <si>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</si>
  <si>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</si>
  <si>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</si>
  <si>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</si>
  <si>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</si>
  <si>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</si>
  <si>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</si>
  <si>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</si>
  <si>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</si>
  <si>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</si>
  <si>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</si>
  <si>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</si>
  <si>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</si>
  <si>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</si>
  <si>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</si>
  <si>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</si>
  <si>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</si>
  <si>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</si>
  <si>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</si>
  <si>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</si>
  <si>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</si>
  <si>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</si>
  <si>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</si>
  <si>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</si>
  <si>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</si>
  <si>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</si>
  <si>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</si>
  <si>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</si>
  <si>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</si>
  <si>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</si>
  <si>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</si>
  <si>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</si>
  <si>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</si>
  <si>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</si>
  <si>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</si>
  <si>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</si>
  <si>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</si>
  <si>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</si>
  <si>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</si>
  <si>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</si>
  <si>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</si>
  <si>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</si>
  <si>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</si>
  <si>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</si>
  <si>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</si>
  <si>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</si>
  <si>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</si>
  <si>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</si>
  <si>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</si>
  <si>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</si>
  <si>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</si>
  <si>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</si>
  <si>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</si>
  <si>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</si>
  <si>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</si>
  <si>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</si>
  <si>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</si>
  <si>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</si>
  <si>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</si>
  <si>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</si>
  <si>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</si>
  <si>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</si>
  <si>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</si>
  <si>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</si>
  <si>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</si>
  <si>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</si>
  <si>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</si>
  <si>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</si>
  <si>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</si>
  <si>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</si>
  <si>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</si>
  <si>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</si>
  <si>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</si>
  <si>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</si>
  <si>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</si>
  <si>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</si>
  <si>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</si>
  <si>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</si>
  <si>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</si>
  <si>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</si>
  <si>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</si>
  <si>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</si>
  <si>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</si>
  <si>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</si>
  <si>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</si>
  <si>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</si>
  <si>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</si>
  <si>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</si>
  <si>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</si>
  <si>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</si>
  <si>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</si>
  <si>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</si>
  <si>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</si>
  <si>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</si>
  <si>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</si>
  <si>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</si>
  <si>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</si>
  <si>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</si>
  <si>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</si>
  <si>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</si>
  <si>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</si>
  <si>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</si>
  <si>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</si>
  <si>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</si>
  <si>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</si>
  <si>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</si>
  <si>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</si>
  <si>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</si>
  <si>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</si>
  <si>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</si>
  <si>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</si>
  <si>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</si>
  <si>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</si>
  <si>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</si>
  <si>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</si>
  <si>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</si>
  <si>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</si>
  <si>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</si>
  <si>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</si>
  <si>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</si>
  <si>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</si>
  <si>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</si>
  <si>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</si>
  <si>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</si>
  <si>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</si>
  <si>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</si>
  <si>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</si>
  <si>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</si>
  <si>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</si>
  <si>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</si>
  <si>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</si>
  <si>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</si>
  <si>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</si>
  <si>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</si>
  <si>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</si>
  <si>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</si>
  <si>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</si>
  <si>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</si>
  <si>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</si>
  <si>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</si>
  <si>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</si>
  <si>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</si>
  <si>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</si>
  <si>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</si>
  <si>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</si>
  <si>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</si>
  <si>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</si>
  <si>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</si>
  <si>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</si>
  <si>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</si>
  <si>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</si>
  <si>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</si>
  <si>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</si>
  <si>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</si>
  <si>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</si>
  <si>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</si>
  <si>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</si>
  <si>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</si>
  <si>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</si>
  <si>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</si>
  <si>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</si>
  <si>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</si>
  <si>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</si>
  <si>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</si>
  <si>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</si>
  <si>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</si>
  <si>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</si>
  <si>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</si>
  <si>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</si>
  <si>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</si>
  <si>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</si>
  <si>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</si>
  <si>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</si>
  <si>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</si>
  <si>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</si>
  <si>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</si>
  <si>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</si>
  <si>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</si>
  <si>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</si>
  <si>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</si>
  <si>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</si>
  <si>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</si>
  <si>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</si>
  <si>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</si>
  <si>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</si>
  <si>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</si>
  <si>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</si>
  <si>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</si>
  <si>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</si>
  <si>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</si>
  <si>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</si>
  <si>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</si>
  <si>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</si>
  <si>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</si>
  <si>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</si>
  <si>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</si>
  <si>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</si>
  <si>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</si>
  <si>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</si>
  <si>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</si>
  <si>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</si>
  <si>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</si>
  <si>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</si>
  <si>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</si>
  <si>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</si>
  <si>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</si>
  <si>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</si>
  <si>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</si>
  <si>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</si>
  <si>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</si>
  <si>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</si>
  <si>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</si>
  <si>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</si>
  <si>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</si>
  <si>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</si>
  <si>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</si>
  <si>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</si>
  <si>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</si>
  <si>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</si>
  <si>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</si>
  <si>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</si>
  <si>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</si>
  <si>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</si>
  <si>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</si>
  <si>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</si>
  <si>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</si>
  <si>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</si>
  <si>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</si>
  <si>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</si>
  <si>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</si>
  <si>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</si>
  <si>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</si>
  <si>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</si>
  <si>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</si>
  <si>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</si>
  <si>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</si>
  <si>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</si>
  <si>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</si>
  <si>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</si>
  <si>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</si>
  <si>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</si>
  <si>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</si>
  <si>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</si>
  <si>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</si>
  <si>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</si>
  <si>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</si>
  <si>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</si>
  <si>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</si>
  <si>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</si>
  <si>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</si>
  <si>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</si>
  <si>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</si>
  <si>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</si>
  <si>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</si>
  <si>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</si>
  <si>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</si>
  <si>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</si>
  <si>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</si>
  <si>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</si>
  <si>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</si>
  <si>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</si>
  <si>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</si>
  <si>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</si>
  <si>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</si>
  <si>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</si>
  <si>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</si>
  <si>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</si>
  <si>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</si>
  <si>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</si>
  <si>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</si>
  <si>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</si>
  <si>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</si>
  <si>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</si>
  <si>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</si>
  <si>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</si>
  <si>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</si>
  <si>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</si>
  <si>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</si>
  <si>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</si>
  <si>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</si>
  <si>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</si>
  <si>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</si>
  <si>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</si>
  <si>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</si>
  <si>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</si>
  <si>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</si>
  <si>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</si>
  <si>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</si>
  <si>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</si>
  <si>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</si>
  <si>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</si>
  <si>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</si>
  <si>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</si>
  <si>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</si>
  <si>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</si>
  <si>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</si>
  <si>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</si>
  <si>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</si>
  <si>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</si>
  <si>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</si>
  <si>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</si>
  <si>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</si>
  <si>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</si>
  <si>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</si>
  <si>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</si>
  <si>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</si>
  <si>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</si>
  <si>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</si>
  <si>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</si>
  <si>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</si>
  <si>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</si>
  <si>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</si>
  <si>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</si>
  <si>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</si>
  <si>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</si>
  <si>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</si>
  <si>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</si>
  <si>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</si>
  <si>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</si>
  <si>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</si>
  <si>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</si>
  <si>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</si>
  <si>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</si>
  <si>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</si>
  <si>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</si>
  <si>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</si>
  <si>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</si>
  <si>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</si>
  <si>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</si>
  <si>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</si>
  <si>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</si>
  <si>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</si>
  <si>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</si>
  <si>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</si>
  <si>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</si>
  <si>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</si>
  <si>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</si>
  <si>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</si>
  <si>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</si>
  <si>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</si>
  <si>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</si>
  <si>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</si>
  <si>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</si>
  <si>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</si>
  <si>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</si>
  <si>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</si>
  <si>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</si>
  <si>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</si>
  <si>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</si>
  <si>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</si>
  <si>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</si>
  <si>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</si>
  <si>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</si>
  <si>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</si>
  <si>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</si>
  <si>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</si>
  <si>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</si>
  <si>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</si>
  <si>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</si>
  <si>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</si>
  <si>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</si>
  <si>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</si>
  <si>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</si>
  <si>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</si>
  <si>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</si>
  <si>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</si>
  <si>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</si>
  <si>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</si>
  <si>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</si>
  <si>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</si>
  <si>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</si>
  <si>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</si>
  <si>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</si>
  <si>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</si>
  <si>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</si>
  <si>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</si>
  <si>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</si>
  <si>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</si>
  <si>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</si>
  <si>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</si>
  <si>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</si>
  <si>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</si>
  <si>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</si>
  <si>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</si>
  <si>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</si>
  <si>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</si>
  <si>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</si>
  <si>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</si>
  <si>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</si>
  <si>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</si>
  <si>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</si>
  <si>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</si>
  <si>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</si>
  <si>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</si>
  <si>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</si>
  <si>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</si>
  <si>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</si>
  <si>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</si>
  <si>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</si>
  <si>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</si>
  <si>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</si>
  <si>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</si>
  <si>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</si>
  <si>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</si>
  <si>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</si>
  <si>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</si>
  <si>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</si>
  <si>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</si>
  <si>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</si>
  <si>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</si>
  <si>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</si>
  <si>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</si>
  <si>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</si>
  <si>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</si>
  <si>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</si>
  <si>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</si>
  <si>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</si>
  <si>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</si>
  <si>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</si>
  <si>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</si>
  <si>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</si>
  <si>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</si>
  <si>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</si>
  <si>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</si>
  <si>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</si>
  <si>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</si>
  <si>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</si>
  <si>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</si>
  <si>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</si>
  <si>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</si>
  <si>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</si>
  <si>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</si>
  <si>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</si>
  <si>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</si>
  <si>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</si>
  <si>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</si>
  <si>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</si>
  <si>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</si>
  <si>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</si>
  <si>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</si>
  <si>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</si>
  <si>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</si>
  <si>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</si>
  <si>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</si>
  <si>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</si>
  <si>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</si>
  <si>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</si>
  <si>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</si>
  <si>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</si>
  <si>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</si>
  <si>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</si>
  <si>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</si>
  <si>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</si>
  <si>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</si>
  <si>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</si>
  <si>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</si>
  <si>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</si>
  <si>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</si>
  <si>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</si>
  <si>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</si>
  <si>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</si>
  <si>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</si>
  <si>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</si>
  <si>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</si>
  <si>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</si>
  <si>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</si>
  <si>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</si>
  <si>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</si>
  <si>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</si>
  <si>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</si>
  <si>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</si>
  <si>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</si>
  <si>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</si>
  <si>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</si>
  <si>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</si>
  <si>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</si>
  <si>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</si>
  <si>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</si>
  <si>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</si>
  <si>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</si>
  <si>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</si>
  <si>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</si>
  <si>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</si>
  <si>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</si>
  <si>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</si>
  <si>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</si>
  <si>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</si>
  <si>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</si>
  <si>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</si>
  <si>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</si>
  <si>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</si>
  <si>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</si>
  <si>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</si>
  <si>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</si>
  <si>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</si>
  <si>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</si>
  <si>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</si>
  <si>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</si>
  <si>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</si>
  <si>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</si>
  <si>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</si>
  <si>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</si>
  <si>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</si>
  <si>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</si>
  <si>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</si>
  <si>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</si>
  <si>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</si>
  <si>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</si>
  <si>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</si>
  <si>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</si>
  <si>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</si>
  <si>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</si>
  <si>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</si>
  <si>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</si>
  <si>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</si>
  <si>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</si>
  <si>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</si>
  <si>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</si>
  <si>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</si>
  <si>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</si>
  <si>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</si>
  <si>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</si>
  <si>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</si>
  <si>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</si>
  <si>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</si>
  <si>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</si>
  <si>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</si>
  <si>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</si>
  <si>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</si>
  <si>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</si>
  <si>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</si>
  <si>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</si>
  <si>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</si>
  <si>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</si>
  <si>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</si>
  <si>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</si>
  <si>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</si>
  <si>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</si>
  <si>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</si>
  <si>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</si>
  <si>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</si>
  <si>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</si>
  <si>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</si>
  <si>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</si>
  <si>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</si>
  <si>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</si>
  <si>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</si>
  <si>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</si>
  <si>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</si>
  <si>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</si>
  <si>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</si>
  <si>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</si>
  <si>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</si>
  <si>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</si>
  <si>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</si>
  <si>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</si>
  <si>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</si>
  <si>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</si>
  <si>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</si>
  <si>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</si>
  <si>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</si>
  <si>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</si>
  <si>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</si>
  <si>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</si>
  <si>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</si>
  <si>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</si>
  <si>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</si>
  <si>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</si>
  <si>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</si>
  <si>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</si>
  <si>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</si>
  <si>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</si>
  <si>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</si>
  <si>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</si>
  <si>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</si>
  <si>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</si>
  <si>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</si>
  <si>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</si>
  <si>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</si>
  <si>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</si>
  <si>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</si>
  <si>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</si>
  <si>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</si>
  <si>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</si>
  <si>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</si>
  <si>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</si>
  <si>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</si>
  <si>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</si>
  <si>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</si>
  <si>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</si>
  <si>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</si>
  <si>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</si>
  <si>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</si>
  <si>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</si>
  <si>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</si>
  <si>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</si>
  <si>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</si>
  <si>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</si>
  <si>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</si>
  <si>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</si>
  <si>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</si>
  <si>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</si>
  <si>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</si>
  <si>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</si>
  <si>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</si>
  <si>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</si>
  <si>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</si>
  <si>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</si>
  <si>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</si>
  <si>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</si>
  <si>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</si>
  <si>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</si>
  <si>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</si>
  <si>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</si>
  <si>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</si>
  <si>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</si>
  <si>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</si>
  <si>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</si>
  <si>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</si>
  <si>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</si>
  <si>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</si>
  <si>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</si>
  <si>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</si>
  <si>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</si>
  <si>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</si>
  <si>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</si>
  <si>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</si>
  <si>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</si>
  <si>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</si>
  <si>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</si>
  <si>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</si>
  <si>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</si>
  <si>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</si>
  <si>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</si>
  <si>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</si>
  <si>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</si>
  <si>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</si>
  <si>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</si>
  <si>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</si>
  <si>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</si>
  <si>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</si>
  <si>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</si>
  <si>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</si>
  <si>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</si>
  <si>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</si>
  <si>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</si>
  <si>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</si>
  <si>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</si>
  <si>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</si>
  <si>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</si>
  <si>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</si>
  <si>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</si>
  <si>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</si>
  <si>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</si>
  <si>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</si>
  <si>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</si>
  <si>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</si>
  <si>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</si>
  <si>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</si>
  <si>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</si>
  <si>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</si>
  <si>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</si>
  <si>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</si>
  <si>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</si>
  <si>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</si>
  <si>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</si>
  <si>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</si>
  <si>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</si>
  <si>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</si>
  <si>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</si>
  <si>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</si>
  <si>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</si>
  <si>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</si>
  <si>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</si>
  <si>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</si>
  <si>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</si>
  <si>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</si>
  <si>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</si>
  <si>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</si>
  <si>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</si>
  <si>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</si>
  <si>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</si>
  <si>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</si>
  <si>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</si>
  <si>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</si>
  <si>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</si>
  <si>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</si>
  <si>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</si>
  <si>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</si>
  <si>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</si>
  <si>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</si>
  <si>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</si>
  <si>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</si>
  <si>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</si>
  <si>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</si>
  <si>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</si>
  <si>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</si>
  <si>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</si>
  <si>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</si>
  <si>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</si>
  <si>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</si>
  <si>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</si>
  <si>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</si>
  <si>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</si>
  <si>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</si>
  <si>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</si>
  <si>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</si>
  <si>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</si>
  <si>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</si>
  <si>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</si>
  <si>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</si>
  <si>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</si>
  <si>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</si>
  <si>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</si>
  <si>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</si>
  <si>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</si>
  <si>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</si>
  <si>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</si>
  <si>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</si>
  <si>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</si>
  <si>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</si>
  <si>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</si>
  <si>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</si>
  <si>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</si>
  <si>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</si>
  <si>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</si>
  <si>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</si>
  <si>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</si>
  <si>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</si>
  <si>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</si>
  <si>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</si>
  <si>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</si>
  <si>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</si>
  <si>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</si>
  <si>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</si>
  <si>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</si>
  <si>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</si>
  <si>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</si>
  <si>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</si>
  <si>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</si>
  <si>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</si>
  <si>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</si>
  <si>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</si>
  <si>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</si>
  <si>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</si>
  <si>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</si>
  <si>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</si>
  <si>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</si>
  <si>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</si>
  <si>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</si>
  <si>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</si>
  <si>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</si>
  <si>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</si>
  <si>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</si>
  <si>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</si>
  <si>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</si>
  <si>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</si>
  <si>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</si>
  <si>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</si>
  <si>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</si>
  <si>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</si>
  <si>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</si>
  <si>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</si>
  <si>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</si>
  <si>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</si>
  <si>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</si>
  <si>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</si>
  <si>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</si>
  <si>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</si>
  <si>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</si>
  <si>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</si>
  <si>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</si>
  <si>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</si>
  <si>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</si>
  <si>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</si>
  <si>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</si>
  <si>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</si>
  <si>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</si>
  <si>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</si>
  <si>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</si>
  <si>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</si>
  <si>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</si>
  <si>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</si>
  <si>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</si>
  <si>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</si>
  <si>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</si>
  <si>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</si>
  <si>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</si>
  <si>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</si>
  <si>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</si>
  <si>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</si>
  <si>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</si>
  <si>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</si>
  <si>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</si>
  <si>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</si>
  <si>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</si>
  <si>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</si>
  <si>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</si>
  <si>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</si>
  <si>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</si>
  <si>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</si>
  <si>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</si>
  <si>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</si>
  <si>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</si>
  <si>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</si>
  <si>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</si>
  <si>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</si>
  <si>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</si>
  <si>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</si>
  <si>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</si>
  <si>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</si>
  <si>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</si>
  <si>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</si>
  <si>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</si>
  <si>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</si>
  <si>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</si>
  <si>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</si>
  <si>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</si>
  <si>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</si>
  <si>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</si>
  <si>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</si>
  <si>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</si>
  <si>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</si>
  <si>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</si>
  <si>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</si>
  <si>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</si>
  <si>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</si>
  <si>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</si>
  <si>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</si>
  <si>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</si>
  <si>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</si>
  <si>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</si>
  <si>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</si>
  <si>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</si>
  <si>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</si>
  <si>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</si>
  <si>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</si>
  <si>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</si>
  <si>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</si>
  <si>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</si>
  <si>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</si>
  <si>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</si>
  <si>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</si>
  <si>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</si>
  <si>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</si>
  <si>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</si>
  <si>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</si>
  <si>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</si>
  <si>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</si>
  <si>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</si>
  <si>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</si>
  <si>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</si>
  <si>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</si>
  <si>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</si>
  <si>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</si>
  <si>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</si>
  <si>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</si>
  <si>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</si>
  <si>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</si>
  <si>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</si>
  <si>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</si>
  <si>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</si>
  <si>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</si>
  <si>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</si>
  <si>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</si>
  <si>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</si>
  <si>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</si>
  <si>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</si>
  <si>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</si>
  <si>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</si>
  <si>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</si>
  <si>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</si>
  <si>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</si>
  <si>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</si>
  <si>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</si>
  <si>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</si>
  <si>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</si>
  <si>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</si>
  <si>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</si>
  <si>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</si>
  <si>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</si>
  <si>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</si>
  <si>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</si>
  <si>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</si>
  <si>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</si>
  <si>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</si>
  <si>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</si>
  <si>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</si>
  <si>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</si>
  <si>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</si>
  <si>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</si>
  <si>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</si>
  <si>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</si>
  <si>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</si>
  <si>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</si>
  <si>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</si>
  <si>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</si>
  <si>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</si>
  <si>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</si>
  <si>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</si>
  <si>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</si>
  <si>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</si>
  <si>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</si>
  <si>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</si>
  <si>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</si>
  <si>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</si>
  <si>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</si>
  <si>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</si>
  <si>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</si>
  <si>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</si>
  <si>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</si>
  <si>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</si>
  <si>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</si>
  <si>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</si>
  <si>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</si>
  <si>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</si>
  <si>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</si>
  <si>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</si>
  <si>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</si>
  <si>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</si>
  <si>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</si>
  <si>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</si>
  <si>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</si>
  <si>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</si>
  <si>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</si>
  <si>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</si>
  <si>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</si>
  <si>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</si>
  <si>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</si>
  <si>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</si>
  <si>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</si>
  <si>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</si>
  <si>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</si>
  <si>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</si>
  <si>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</si>
  <si>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</si>
  <si>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</si>
  <si>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</si>
  <si>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</si>
  <si>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</si>
  <si>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</si>
  <si>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</si>
  <si>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</si>
  <si>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</si>
  <si>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</si>
  <si>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</si>
  <si>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</si>
  <si>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</si>
  <si>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</si>
  <si>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</si>
  <si>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</si>
  <si>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</si>
  <si>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</si>
  <si>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</si>
  <si>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</si>
  <si>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</si>
  <si>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</si>
  <si>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</si>
  <si>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</si>
  <si>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</si>
  <si>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</si>
  <si>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</si>
  <si>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</si>
  <si>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</si>
  <si>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</si>
  <si>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</si>
  <si>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</si>
  <si>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</si>
  <si>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</si>
  <si>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</si>
  <si>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</si>
  <si>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</si>
  <si>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</si>
  <si>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</si>
  <si>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</si>
  <si>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</si>
  <si>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</si>
  <si>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</si>
  <si>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</si>
  <si>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</si>
  <si>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</si>
  <si>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</si>
  <si>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</si>
  <si>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</si>
  <si>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</si>
  <si>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</si>
  <si>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</si>
  <si>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</si>
  <si>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</si>
  <si>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</si>
  <si>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</si>
  <si>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</si>
  <si>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</si>
  <si>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</si>
  <si>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</si>
  <si>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</si>
  <si>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</si>
  <si>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</si>
  <si>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</si>
  <si>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</si>
  <si>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</si>
  <si>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</si>
  <si>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</si>
  <si>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</si>
  <si>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</si>
  <si>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</si>
  <si>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</si>
  <si>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</si>
  <si>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</si>
  <si>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</si>
  <si>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</si>
  <si>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</si>
  <si>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</si>
  <si>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</si>
  <si>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</si>
  <si>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</si>
  <si>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</si>
  <si>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</si>
  <si>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</si>
  <si>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</si>
  <si>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</si>
  <si>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</si>
  <si>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</si>
  <si>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</si>
  <si>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</si>
  <si>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</si>
  <si>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</si>
  <si>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</si>
  <si>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</si>
  <si>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</si>
  <si>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</si>
  <si>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</si>
  <si>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</si>
  <si>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</si>
  <si>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</si>
  <si>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</si>
  <si>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</si>
  <si>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</si>
  <si>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</si>
  <si>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</si>
  <si>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</si>
  <si>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</si>
  <si>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</si>
  <si>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</si>
  <si>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</si>
  <si>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</si>
  <si>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</si>
  <si>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</si>
  <si>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</si>
  <si>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</si>
  <si>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</si>
  <si>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</si>
  <si>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</si>
  <si>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</si>
  <si>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</si>
  <si>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</si>
  <si>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</si>
  <si>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</si>
  <si>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</si>
  <si>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</si>
  <si>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</si>
  <si>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</si>
  <si>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</si>
  <si>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</si>
  <si>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</si>
  <si>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</si>
  <si>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</si>
  <si>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</si>
  <si>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</si>
  <si>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</si>
  <si>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</si>
  <si>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</si>
  <si>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</si>
  <si>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</si>
  <si>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</si>
  <si>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</si>
  <si>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</si>
  <si>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</si>
  <si>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</si>
  <si>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</si>
  <si>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</si>
  <si>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</si>
  <si>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</si>
  <si>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</si>
  <si>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</si>
  <si>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</si>
  <si>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</si>
  <si>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</si>
  <si>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</si>
  <si>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</si>
  <si>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</si>
  <si>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</si>
  <si>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</si>
  <si>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</si>
  <si>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</si>
  <si>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</si>
  <si>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</si>
  <si>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</si>
  <si>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</si>
  <si>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</si>
  <si>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</si>
  <si>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</si>
  <si>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</si>
  <si>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</si>
  <si>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</si>
  <si>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</si>
  <si>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</si>
  <si>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</si>
  <si>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</si>
  <si>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</si>
  <si>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</si>
  <si>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</si>
  <si>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</si>
  <si>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</si>
  <si>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</si>
  <si>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</si>
  <si>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</si>
  <si>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</si>
  <si>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</si>
  <si>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</si>
  <si>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</si>
  <si>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</si>
  <si>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</si>
  <si>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</si>
  <si>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</si>
  <si>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</si>
  <si>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</si>
  <si>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</si>
  <si>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</si>
  <si>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</si>
  <si>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</si>
  <si>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</si>
  <si>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</si>
  <si>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</si>
  <si>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</si>
  <si>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</si>
  <si>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</si>
  <si>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</si>
  <si>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</si>
  <si>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</si>
  <si>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</si>
  <si>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</si>
  <si>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</si>
  <si>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</si>
  <si>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</si>
  <si>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</si>
  <si>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</si>
  <si>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</si>
  <si>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</si>
  <si>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</si>
  <si>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</si>
  <si>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</si>
  <si>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</si>
  <si>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</si>
  <si>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</si>
  <si>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</si>
  <si>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</si>
  <si>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</si>
  <si>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</si>
  <si>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</si>
  <si>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</si>
  <si>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</si>
  <si>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</si>
  <si>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</si>
  <si>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</si>
  <si>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</si>
  <si>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</si>
  <si>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</si>
  <si>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</si>
  <si>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</si>
  <si>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</si>
  <si>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</si>
  <si>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</si>
  <si>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</si>
  <si>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</si>
  <si>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</si>
  <si>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</si>
  <si>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</si>
  <si>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</si>
  <si>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</si>
  <si>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</si>
  <si>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</si>
  <si>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</si>
  <si>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</si>
  <si>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</si>
  <si>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</si>
  <si>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</si>
  <si>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</si>
  <si>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</si>
  <si>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</si>
  <si>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</si>
  <si>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</si>
  <si>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</si>
  <si>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</si>
  <si>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</si>
  <si>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</si>
  <si>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</si>
  <si>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</si>
  <si>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</si>
  <si>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</si>
  <si>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</si>
  <si>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</si>
  <si>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</si>
  <si>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</si>
  <si>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</si>
  <si>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</si>
  <si>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</si>
  <si>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</si>
  <si>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</si>
  <si>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</si>
  <si>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</si>
  <si>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</si>
  <si>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</si>
  <si>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</si>
  <si>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</si>
  <si>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</si>
  <si>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</si>
  <si>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</si>
  <si>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</si>
  <si>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</si>
  <si>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</si>
  <si>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</si>
  <si>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</si>
  <si>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</si>
  <si>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</si>
  <si>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</si>
  <si>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</si>
  <si>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</si>
  <si>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</si>
  <si>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</si>
  <si>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</si>
  <si>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</si>
  <si>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</si>
  <si>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</si>
  <si>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</si>
  <si>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</si>
  <si>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</si>
  <si>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</si>
  <si>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</si>
  <si>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</si>
  <si>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</si>
  <si>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</si>
  <si>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</si>
  <si>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</si>
  <si>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</si>
  <si>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</si>
  <si>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</si>
  <si>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</si>
  <si>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</si>
  <si>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</si>
  <si>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</si>
  <si>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</si>
  <si>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</si>
  <si>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</si>
  <si>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</si>
  <si>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</si>
  <si>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</si>
  <si>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</si>
  <si>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</si>
  <si>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</si>
  <si>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</si>
  <si>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</si>
  <si>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</si>
  <si>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</si>
  <si>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</si>
  <si>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</si>
  <si>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</si>
  <si>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</si>
  <si>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</si>
  <si>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</si>
  <si>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</si>
  <si>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</si>
  <si>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</si>
  <si>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</si>
  <si>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</si>
  <si>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</si>
  <si>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</si>
  <si>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</si>
  <si>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</si>
  <si>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</si>
  <si>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</si>
  <si>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</si>
  <si>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</si>
  <si>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</si>
  <si>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</si>
  <si>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</si>
  <si>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</si>
  <si>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</si>
  <si>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</si>
  <si>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</si>
  <si>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</si>
  <si>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</si>
  <si>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</si>
  <si>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</si>
  <si>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</si>
  <si>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</si>
  <si>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</si>
  <si>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</si>
  <si>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</si>
  <si>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</si>
  <si>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</si>
  <si>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</si>
  <si>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</si>
  <si>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</si>
  <si>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</si>
  <si>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</si>
  <si>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</si>
  <si>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</si>
  <si>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</si>
  <si>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</si>
  <si>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</si>
  <si>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</si>
  <si>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</si>
  <si>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</si>
  <si>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</si>
  <si>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</si>
  <si>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</si>
  <si>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</si>
  <si>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</si>
  <si>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</si>
  <si>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</si>
  <si>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</si>
  <si>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</si>
  <si>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</si>
  <si>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</si>
  <si>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</si>
  <si>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</si>
  <si>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</si>
  <si>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</si>
  <si>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</si>
  <si>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</si>
  <si>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</si>
  <si>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</si>
  <si>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</si>
  <si>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</si>
  <si>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</si>
  <si>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</si>
  <si>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</si>
  <si>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</si>
  <si>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</si>
  <si>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</si>
  <si>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</si>
  <si>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</si>
  <si>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</si>
  <si>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</si>
  <si>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</si>
  <si>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</si>
  <si>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</si>
  <si>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</si>
  <si>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</si>
  <si>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</si>
  <si>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</si>
  <si>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</si>
  <si>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</si>
  <si>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</si>
  <si>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</si>
  <si>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</si>
  <si>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</si>
  <si>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</si>
  <si>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</si>
  <si>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</si>
  <si>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</si>
  <si>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</si>
  <si>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</si>
  <si>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</si>
  <si>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</si>
  <si>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</si>
  <si>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</si>
  <si>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</si>
  <si>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</si>
  <si>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</si>
  <si>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</si>
  <si>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</si>
  <si>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</si>
  <si>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</si>
  <si>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</si>
  <si>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</si>
  <si>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</si>
  <si>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</si>
  <si>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</si>
  <si>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</si>
  <si>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</si>
  <si>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</si>
  <si>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</si>
  <si>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</si>
  <si>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</si>
  <si>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</si>
  <si>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</si>
  <si>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</si>
  <si>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</si>
  <si>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</si>
  <si>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</si>
  <si>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</si>
  <si>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</si>
  <si>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</si>
  <si>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</si>
  <si>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</si>
  <si>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</si>
  <si>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</si>
  <si>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</si>
  <si>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</si>
  <si>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</si>
  <si>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</si>
  <si>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</si>
  <si>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</si>
  <si>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</si>
  <si>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</si>
  <si>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</si>
  <si>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</si>
  <si>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</si>
  <si>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</si>
  <si>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</si>
  <si>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</si>
  <si>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</si>
  <si>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</si>
  <si>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</si>
  <si>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</si>
  <si>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</si>
  <si>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</si>
  <si>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</si>
  <si>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</si>
  <si>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</si>
  <si>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</si>
  <si>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</si>
  <si>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</si>
  <si>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</si>
  <si>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</si>
  <si>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</si>
  <si>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</si>
  <si>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</si>
  <si>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</si>
  <si>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</si>
  <si>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</si>
  <si>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</si>
  <si>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</si>
  <si>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</si>
  <si>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</si>
  <si>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</si>
  <si>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</si>
  <si>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</si>
  <si>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</si>
  <si>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</si>
  <si>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</si>
  <si>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</si>
  <si>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</si>
  <si>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</si>
  <si>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</si>
  <si>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</si>
  <si>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</si>
  <si>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</si>
  <si>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</si>
  <si>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</si>
  <si>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</si>
  <si>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</si>
  <si>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</si>
  <si>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</si>
  <si>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</si>
  <si>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</si>
  <si>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</si>
  <si>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</si>
  <si>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</si>
  <si>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</si>
  <si>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</si>
  <si>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</si>
  <si>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</si>
  <si>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</si>
  <si>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</si>
  <si>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</si>
  <si>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</si>
  <si>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</si>
  <si>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</si>
  <si>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</si>
  <si>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</si>
  <si>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</si>
  <si>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</si>
  <si>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</si>
  <si>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</si>
  <si>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</si>
  <si>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</si>
  <si>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</si>
  <si>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</si>
  <si>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</si>
  <si>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</si>
  <si>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</si>
  <si>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</si>
  <si>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</si>
  <si>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</si>
  <si>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</si>
  <si>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</si>
  <si>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</si>
  <si>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</si>
  <si>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</si>
  <si>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</si>
  <si>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</si>
  <si>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</si>
  <si>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</si>
  <si>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</si>
  <si>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</si>
  <si>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</si>
  <si>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</si>
  <si>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</si>
  <si>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</si>
  <si>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</si>
  <si>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</si>
  <si>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</si>
  <si>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</si>
  <si>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</si>
  <si>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</si>
  <si>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</si>
  <si>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</si>
  <si>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</si>
  <si>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</si>
  <si>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</si>
  <si>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</si>
  <si>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</si>
  <si>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</si>
  <si>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</si>
  <si>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</si>
  <si>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</si>
  <si>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</si>
  <si>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</si>
  <si>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</si>
  <si>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</si>
  <si>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</si>
  <si>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</si>
  <si>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</si>
  <si>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</si>
  <si>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</si>
  <si>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</si>
  <si>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</si>
  <si>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</si>
  <si>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</si>
  <si>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</si>
  <si>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</si>
  <si>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</si>
  <si>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</si>
  <si>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</si>
  <si>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</si>
  <si>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</si>
  <si>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</si>
  <si>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</si>
  <si>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</si>
  <si>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</si>
  <si>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</si>
  <si>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</si>
  <si>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</si>
  <si>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</si>
  <si>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</si>
  <si>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</si>
  <si>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</si>
  <si>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</si>
  <si>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</si>
  <si>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</si>
  <si>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</si>
  <si>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</si>
  <si>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</si>
  <si>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</si>
  <si>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</si>
  <si>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</si>
  <si>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</si>
  <si>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</si>
  <si>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</si>
  <si>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</si>
  <si>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</si>
  <si>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</si>
  <si>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</si>
  <si>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</si>
  <si>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</si>
  <si>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</si>
  <si>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</si>
  <si>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</si>
  <si>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</si>
  <si>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</si>
  <si>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</si>
  <si>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</si>
  <si>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</si>
  <si>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</si>
  <si>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</si>
  <si>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</si>
  <si>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</si>
  <si>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</si>
  <si>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</si>
  <si>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</si>
  <si>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</si>
  <si>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</si>
  <si>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</si>
  <si>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</si>
  <si>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</si>
  <si>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</si>
  <si>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</si>
  <si>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</si>
  <si>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</si>
  <si>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</si>
  <si>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</si>
  <si>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</si>
  <si>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</si>
  <si>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</si>
  <si>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</si>
  <si>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</si>
  <si>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</si>
  <si>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</si>
  <si>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</si>
  <si>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</si>
  <si>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</si>
  <si>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</si>
  <si>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</si>
  <si>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</si>
  <si>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</si>
  <si>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</si>
  <si>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</si>
  <si>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</si>
  <si>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</si>
  <si>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</si>
  <si>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</si>
  <si>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</si>
  <si>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</si>
  <si>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</si>
  <si>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</si>
  <si>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</si>
  <si>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</si>
  <si>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</si>
  <si>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</si>
  <si>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</si>
  <si>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</si>
  <si>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</si>
  <si>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</si>
  <si>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</si>
  <si>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</si>
  <si>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</si>
  <si>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</si>
  <si>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</si>
  <si>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</si>
  <si>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</si>
  <si>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</si>
  <si>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</si>
  <si>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</si>
  <si>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</si>
  <si>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</si>
  <si>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</si>
  <si>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</si>
  <si>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</si>
  <si>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</si>
  <si>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</si>
  <si>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</si>
  <si>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</si>
  <si>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</si>
  <si>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</si>
  <si>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</si>
  <si>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</si>
  <si>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</si>
  <si>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</si>
  <si>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</si>
  <si>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</si>
  <si>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</si>
  <si>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</si>
  <si>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</si>
  <si>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</si>
  <si>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</si>
  <si>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</si>
  <si>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</si>
  <si>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</si>
  <si>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</si>
  <si>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</si>
  <si>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</si>
  <si>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</si>
  <si>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</si>
  <si>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</si>
  <si>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</si>
  <si>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</si>
  <si>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</si>
  <si>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</si>
  <si>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</si>
  <si>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</si>
  <si>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</si>
  <si>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</si>
  <si>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</si>
  <si>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</si>
  <si>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</si>
  <si>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</si>
  <si>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</si>
  <si>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</si>
  <si>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</si>
  <si>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</si>
  <si>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</si>
  <si>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</si>
  <si>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</si>
  <si>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</si>
  <si>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</si>
  <si>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</si>
  <si>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</si>
  <si>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</si>
  <si>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</si>
  <si>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</si>
  <si>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</si>
  <si>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</si>
  <si>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</si>
  <si>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</si>
  <si>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</si>
  <si>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</si>
  <si>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</si>
  <si>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</si>
  <si>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</si>
  <si>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</si>
  <si>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</si>
  <si>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</si>
  <si>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</si>
  <si>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</si>
  <si>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</si>
  <si>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</si>
  <si>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</si>
  <si>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</si>
  <si>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</si>
  <si>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</si>
  <si>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</si>
  <si>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</si>
  <si>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</si>
  <si>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</si>
  <si>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</si>
  <si>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</si>
  <si>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</si>
  <si>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</si>
  <si>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</si>
  <si>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</si>
  <si>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</si>
  <si>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</si>
  <si>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</si>
  <si>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</si>
  <si>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</si>
  <si>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</si>
  <si>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</si>
  <si>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</si>
  <si>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</si>
  <si>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</si>
  <si>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</si>
  <si>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</si>
  <si>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</si>
  <si>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</si>
  <si>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</si>
  <si>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</si>
  <si>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</si>
  <si>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</si>
  <si>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</si>
  <si>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</si>
  <si>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</si>
  <si>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</si>
  <si>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</si>
  <si>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</si>
  <si>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</si>
  <si>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</si>
  <si>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</si>
  <si>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</si>
  <si>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</si>
  <si>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</si>
  <si>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</si>
  <si>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</si>
  <si>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</si>
  <si>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</si>
  <si>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</si>
  <si>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</si>
  <si>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</si>
  <si>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</si>
  <si>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</si>
  <si>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</si>
  <si>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</si>
  <si>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</si>
  <si>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</si>
  <si>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</si>
  <si>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</si>
  <si>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</si>
  <si>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</si>
  <si>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</si>
  <si>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</si>
  <si>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</si>
  <si>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</si>
  <si>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</si>
  <si>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</si>
  <si>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</si>
  <si>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</si>
  <si>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</si>
  <si>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</si>
  <si>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</si>
  <si>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</si>
  <si>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</si>
  <si>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</si>
  <si>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</si>
  <si>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</si>
  <si>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</si>
  <si>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</si>
  <si>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</si>
  <si>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</si>
  <si>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</si>
  <si>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</si>
  <si>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</si>
  <si>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</si>
  <si>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</si>
  <si>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</si>
  <si>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</si>
  <si>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</si>
  <si>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</si>
  <si>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</si>
  <si>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</si>
  <si>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</si>
  <si>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</si>
  <si>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</si>
  <si>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</si>
  <si>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</si>
  <si>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</si>
  <si>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</si>
  <si>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</si>
  <si>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</si>
  <si>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</si>
  <si>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</si>
  <si>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</si>
  <si>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</si>
  <si>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</si>
  <si>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</si>
  <si>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</si>
  <si>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</si>
  <si>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</si>
  <si>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</si>
  <si>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</si>
  <si>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</si>
  <si>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</si>
  <si>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</si>
  <si>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</si>
  <si>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</si>
  <si>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</si>
  <si>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</si>
  <si>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</si>
  <si>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</si>
  <si>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</si>
  <si>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</si>
  <si>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</si>
  <si>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</si>
  <si>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</si>
  <si>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</si>
  <si>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</si>
  <si>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</si>
  <si>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</si>
  <si>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</si>
  <si>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</si>
  <si>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</si>
  <si>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</si>
  <si>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</si>
  <si>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</si>
  <si>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</si>
  <si>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</si>
  <si>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</si>
  <si>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</si>
  <si>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</si>
  <si>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</si>
  <si>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</si>
  <si>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</si>
  <si>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</si>
  <si>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</si>
  <si>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</si>
  <si>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</si>
  <si>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</si>
  <si>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</si>
  <si>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</si>
  <si>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</si>
  <si>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</si>
  <si>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</si>
  <si>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</si>
  <si>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</si>
  <si>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</si>
  <si>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</si>
  <si>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</si>
  <si>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</si>
  <si>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</si>
  <si>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</si>
  <si>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</si>
  <si>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</si>
  <si>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</si>
  <si>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</si>
  <si>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</si>
  <si>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</si>
  <si>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</si>
  <si>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</si>
  <si>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</si>
  <si>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</si>
  <si>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</si>
  <si>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</si>
  <si>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</si>
  <si>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</si>
  <si>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</si>
  <si>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</si>
  <si>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</si>
  <si>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</si>
  <si>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</si>
  <si>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</si>
  <si>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</si>
  <si>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</si>
  <si>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</si>
  <si>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</si>
  <si>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</si>
  <si>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</si>
  <si>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</si>
  <si>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</si>
  <si>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</si>
  <si>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</si>
  <si>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</si>
  <si>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</si>
  <si>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</si>
  <si>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</si>
  <si>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</si>
  <si>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</si>
  <si>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</si>
  <si>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</si>
  <si>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</si>
  <si>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</si>
  <si>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</si>
  <si>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</si>
  <si>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</si>
  <si>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</si>
  <si>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</si>
  <si>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</si>
  <si>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</si>
  <si>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</si>
  <si>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</si>
  <si>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</si>
  <si>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</si>
  <si>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</si>
  <si>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</si>
  <si>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</si>
  <si>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</si>
  <si>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</si>
  <si>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</si>
  <si>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</si>
  <si>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</si>
  <si>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</si>
  <si>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</si>
  <si>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</si>
  <si>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</si>
  <si>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</si>
  <si>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</si>
  <si>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</si>
  <si>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</si>
  <si>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</si>
  <si>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</si>
  <si>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</si>
  <si>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</si>
  <si>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</si>
  <si>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</si>
  <si>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</si>
  <si>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</si>
  <si>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</si>
  <si>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</si>
  <si>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</si>
  <si>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</si>
  <si>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</si>
  <si>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</si>
  <si>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</si>
  <si>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</si>
  <si>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</si>
  <si>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</si>
  <si>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</si>
  <si>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</si>
  <si>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</si>
  <si>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</si>
  <si>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</si>
  <si>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</si>
  <si>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</si>
  <si>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</si>
  <si>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</si>
  <si>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</si>
  <si>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</si>
  <si>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</si>
  <si>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</si>
  <si>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</si>
  <si>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</si>
  <si>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</si>
  <si>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</si>
  <si>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</si>
  <si>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</si>
  <si>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</si>
  <si>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</si>
  <si>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</si>
  <si>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</si>
  <si>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</si>
  <si>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</si>
  <si>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</si>
  <si>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</si>
  <si>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</si>
  <si>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</si>
  <si>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</si>
  <si>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</si>
  <si>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</si>
  <si>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</si>
  <si>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</si>
  <si>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</si>
  <si>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</si>
  <si>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</si>
  <si>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</si>
  <si>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</si>
  <si>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</si>
  <si>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</si>
  <si>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</si>
  <si>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</si>
  <si>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</si>
  <si>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</si>
  <si>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</si>
  <si>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</si>
  <si>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</si>
  <si>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</si>
  <si>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</si>
  <si>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</si>
  <si>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</si>
  <si>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</si>
  <si>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</si>
  <si>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</si>
  <si>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</si>
  <si>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</si>
  <si>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</si>
  <si>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</si>
  <si>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</si>
  <si>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</si>
  <si>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</si>
  <si>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</si>
  <si>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</si>
  <si>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</si>
  <si>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</si>
  <si>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</si>
  <si>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</si>
  <si>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</si>
  <si>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</si>
  <si>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</si>
  <si>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</si>
  <si>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</si>
  <si>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</si>
  <si>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</si>
  <si>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</si>
  <si>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</si>
  <si>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</si>
  <si>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</si>
  <si>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</si>
  <si>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</si>
  <si>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</si>
  <si>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</si>
  <si>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</si>
  <si>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</si>
  <si>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</si>
  <si>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</si>
  <si>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</si>
  <si>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</si>
  <si>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</si>
  <si>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</si>
  <si>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</si>
  <si>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</si>
  <si>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</si>
  <si>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</si>
  <si>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</si>
  <si>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</si>
  <si>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</si>
  <si>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</si>
  <si>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</si>
  <si>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</si>
  <si>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</si>
  <si>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</si>
  <si>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</si>
  <si>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</si>
  <si>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</si>
  <si>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</si>
  <si>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</si>
  <si>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</si>
  <si>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</si>
  <si>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</si>
  <si>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</si>
  <si>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</si>
  <si>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</si>
  <si>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</si>
  <si>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</si>
  <si>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</si>
  <si>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</si>
  <si>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</si>
  <si>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</si>
  <si>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</si>
  <si>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</si>
  <si>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</si>
  <si>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</si>
  <si>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</si>
  <si>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</si>
  <si>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</si>
  <si>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</si>
  <si>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</si>
  <si>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</si>
  <si>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</si>
  <si>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</si>
  <si>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</si>
  <si>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</si>
  <si>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</si>
  <si>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</si>
  <si>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</si>
  <si>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</si>
  <si>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</si>
  <si>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</si>
  <si>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</si>
  <si>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</si>
  <si>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</si>
  <si>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</si>
  <si>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</si>
  <si>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</si>
  <si>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</si>
  <si>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</si>
  <si>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</si>
  <si>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</si>
  <si>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</si>
  <si>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</si>
  <si>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</si>
  <si>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</si>
  <si>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</si>
  <si>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</si>
  <si>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</si>
  <si>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</si>
  <si>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</si>
  <si>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</si>
  <si>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</si>
  <si>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</si>
  <si>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</si>
  <si>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</si>
  <si>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</si>
  <si>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</si>
  <si>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</si>
  <si>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</si>
  <si>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</si>
  <si>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</si>
  <si>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</si>
  <si>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</si>
  <si>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</si>
  <si>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</si>
  <si>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</si>
  <si>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</si>
  <si>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</si>
  <si>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</si>
  <si>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</si>
  <si>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</si>
  <si>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</si>
  <si>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</si>
  <si>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</si>
  <si>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</si>
  <si>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</si>
  <si>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</si>
  <si>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</si>
  <si>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</si>
  <si>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</si>
  <si>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</si>
  <si>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</si>
  <si>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</si>
  <si>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</si>
  <si>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</si>
  <si>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</si>
  <si>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</si>
  <si>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</si>
  <si>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</si>
  <si>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</si>
  <si>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</si>
  <si>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</si>
  <si>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</si>
  <si>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</si>
  <si>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</si>
  <si>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</si>
  <si>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</si>
  <si>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</si>
  <si>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</si>
  <si>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</si>
  <si>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</si>
  <si>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</si>
  <si>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</si>
  <si>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</si>
  <si>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</si>
  <si>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</si>
  <si>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</si>
  <si>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</si>
  <si>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</si>
  <si>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</si>
  <si>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</si>
  <si>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</si>
  <si>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</si>
  <si>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</si>
  <si>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</si>
  <si>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</si>
  <si>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</si>
  <si>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</si>
  <si>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</si>
  <si>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</si>
  <si>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</si>
  <si>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</si>
  <si>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</si>
  <si>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</si>
  <si>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</si>
  <si>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</si>
  <si>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</si>
  <si>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</si>
  <si>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</si>
  <si>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</si>
  <si>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</si>
  <si>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</si>
  <si>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</si>
  <si>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</si>
  <si>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</si>
  <si>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</si>
  <si>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</si>
  <si>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</si>
  <si>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</si>
  <si>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</si>
  <si>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</si>
  <si>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</si>
  <si>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</si>
  <si>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</si>
  <si>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</si>
  <si>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</si>
  <si>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</si>
  <si>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</si>
  <si>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</si>
  <si>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</si>
  <si>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</si>
  <si>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</si>
  <si>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</si>
  <si>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</si>
  <si>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</si>
  <si>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</si>
  <si>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</si>
  <si>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</si>
  <si>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</si>
  <si>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</si>
  <si>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</si>
  <si>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</si>
  <si>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</si>
  <si>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</si>
  <si>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</si>
  <si>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</si>
  <si>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</si>
  <si>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</si>
  <si>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</si>
  <si>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</si>
  <si>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</si>
  <si>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</si>
  <si>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</si>
  <si>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</si>
  <si>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</si>
  <si>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</si>
  <si>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</si>
  <si>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</si>
  <si>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</si>
  <si>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</si>
  <si>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</si>
  <si>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</si>
  <si>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</si>
  <si>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</si>
  <si>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</si>
  <si>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</si>
  <si>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</si>
  <si>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</si>
  <si>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</si>
  <si>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</si>
  <si>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</si>
  <si>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</si>
  <si>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</si>
  <si>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</si>
  <si>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</si>
  <si>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</si>
  <si>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</si>
  <si>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</si>
  <si>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</si>
  <si>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</si>
  <si>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</si>
  <si>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</si>
  <si>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</si>
  <si>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</si>
  <si>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</si>
  <si>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</si>
  <si>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</si>
  <si>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</si>
  <si>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</si>
  <si>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</si>
  <si>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</si>
  <si>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</si>
  <si>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</si>
  <si>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</si>
  <si>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</si>
  <si>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</si>
  <si>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</si>
  <si>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</si>
  <si>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</si>
  <si>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</si>
  <si>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</si>
  <si>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</si>
  <si>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</si>
  <si>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</si>
  <si>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</si>
  <si>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</si>
  <si>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</si>
  <si>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</si>
  <si>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</si>
  <si>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</si>
  <si>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</si>
  <si>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</si>
  <si>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</si>
  <si>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</si>
  <si>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</si>
  <si>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</si>
  <si>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</si>
  <si>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</si>
  <si>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</si>
  <si>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</si>
  <si>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</si>
  <si>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</si>
  <si>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</si>
  <si>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</si>
  <si>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</si>
  <si>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</si>
  <si>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</si>
  <si>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</si>
  <si>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</si>
  <si>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</si>
  <si>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</si>
  <si>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</si>
  <si>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</si>
  <si>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</si>
  <si>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</si>
  <si>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</si>
  <si>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</si>
  <si>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</si>
  <si>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</si>
  <si>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</si>
  <si>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</si>
  <si>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</si>
  <si>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</si>
  <si>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</si>
  <si>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</si>
  <si>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</si>
  <si>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</si>
  <si>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</si>
  <si>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</si>
  <si>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</si>
  <si>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</si>
  <si>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</si>
  <si>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</si>
  <si>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</si>
  <si>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</si>
  <si>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</si>
  <si>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</si>
  <si>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</si>
  <si>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</si>
  <si>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</si>
  <si>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</si>
  <si>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</si>
  <si>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</si>
  <si>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</si>
  <si>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</si>
  <si>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</si>
  <si>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</si>
  <si>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</si>
  <si>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</si>
  <si>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</si>
  <si>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</si>
  <si>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</si>
  <si>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</si>
  <si>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</si>
  <si>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</si>
  <si>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</si>
  <si>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</si>
  <si>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</si>
  <si>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</si>
  <si>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</si>
  <si>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</si>
  <si>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</si>
  <si>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</si>
  <si>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</si>
  <si>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</si>
  <si>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</si>
  <si>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</si>
  <si>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</si>
  <si>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</si>
  <si>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</si>
  <si>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</si>
  <si>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</si>
  <si>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</si>
  <si>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</si>
  <si>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</si>
  <si>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</si>
  <si>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</si>
  <si>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</si>
  <si>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</si>
  <si>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</si>
  <si>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</si>
  <si>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</si>
  <si>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</si>
  <si>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</si>
  <si>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</si>
  <si>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</si>
  <si>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</si>
  <si>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</si>
  <si>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</si>
  <si>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</si>
  <si>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</si>
  <si>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</si>
  <si>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</si>
  <si>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</si>
  <si>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</si>
  <si>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</si>
  <si>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</si>
  <si>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</si>
  <si>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</si>
  <si>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</si>
  <si>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</si>
  <si>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</si>
  <si>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</si>
  <si>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</si>
  <si>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</si>
  <si>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</si>
  <si>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</si>
  <si>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</si>
  <si>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</si>
  <si>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</si>
  <si>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</si>
  <si>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</si>
  <si>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</si>
  <si>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</si>
  <si>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</si>
  <si>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</si>
  <si>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</si>
  <si>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</si>
  <si>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</si>
  <si>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</si>
  <si>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</si>
  <si>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</si>
  <si>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</si>
  <si>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</si>
  <si>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</si>
  <si>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</si>
  <si>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</si>
  <si>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</si>
  <si>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</si>
  <si>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</si>
  <si>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</si>
  <si>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</si>
  <si>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</si>
  <si>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</si>
  <si>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</si>
  <si>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</si>
  <si>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</si>
  <si>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</si>
  <si>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</si>
  <si>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</si>
  <si>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</si>
  <si>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</si>
  <si>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</si>
  <si>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</si>
  <si>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</si>
  <si>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</si>
  <si>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</si>
  <si>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</si>
  <si>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</si>
  <si>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</si>
  <si>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</si>
  <si>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</si>
  <si>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</si>
  <si>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</si>
  <si>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</si>
  <si>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</si>
  <si>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</si>
  <si>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</si>
  <si>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</si>
  <si>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</si>
  <si>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</si>
  <si>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</si>
  <si>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</si>
  <si>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</si>
  <si>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</si>
  <si>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</si>
  <si>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</si>
  <si>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</si>
  <si>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</si>
  <si>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</si>
  <si>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</si>
  <si>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</si>
  <si>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</si>
  <si>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</si>
  <si>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</si>
  <si>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</si>
  <si>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</si>
  <si>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</si>
  <si>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</si>
  <si>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</si>
  <si>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</si>
  <si>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</si>
  <si>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</si>
  <si>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</si>
  <si>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</si>
  <si>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</si>
  <si>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</si>
  <si>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</si>
  <si>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</si>
  <si>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</si>
  <si>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</si>
  <si>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</si>
  <si>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</si>
  <si>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</si>
  <si>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</si>
  <si>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</si>
  <si>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</si>
  <si>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</si>
  <si>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</si>
  <si>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</si>
  <si>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</si>
  <si>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</si>
  <si>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</si>
  <si>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</si>
  <si>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</si>
  <si>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</si>
  <si>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</si>
  <si>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</si>
  <si>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</si>
  <si>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</si>
  <si>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</si>
  <si>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</si>
  <si>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</si>
  <si>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</si>
  <si>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</si>
  <si>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</si>
  <si>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</si>
  <si>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</si>
  <si>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</si>
  <si>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</si>
  <si>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</si>
  <si>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</si>
  <si>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</si>
  <si>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</si>
  <si>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</si>
  <si>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</si>
  <si>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</si>
  <si>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</si>
  <si>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</si>
  <si>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</si>
  <si>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</si>
  <si>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</si>
  <si>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</si>
  <si>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</si>
  <si>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</si>
  <si>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</si>
  <si>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</si>
  <si>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</si>
  <si>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</si>
  <si>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</si>
  <si>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</si>
  <si>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</si>
  <si>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</si>
  <si>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</si>
  <si>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</si>
  <si>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</si>
  <si>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</si>
  <si>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</si>
  <si>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</si>
  <si>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</si>
  <si>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</si>
  <si>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</si>
  <si>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</si>
  <si>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</si>
  <si>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</si>
  <si>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</si>
  <si>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</si>
  <si>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</si>
  <si>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</si>
  <si>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</si>
  <si>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</si>
  <si>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</si>
  <si>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</si>
  <si>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</si>
  <si>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</si>
  <si>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</si>
  <si>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</si>
  <si>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</si>
  <si>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</si>
  <si>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</si>
  <si>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</si>
  <si>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</si>
  <si>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</si>
  <si>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</si>
  <si>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</si>
  <si>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</si>
  <si>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</si>
  <si>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</si>
  <si>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</si>
  <si>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</si>
  <si>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</si>
  <si>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</si>
  <si>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</si>
  <si>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</si>
  <si>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</si>
  <si>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</si>
  <si>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</si>
  <si>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</si>
  <si>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</si>
  <si>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</si>
  <si>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</si>
  <si>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</si>
  <si>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</si>
  <si>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</si>
  <si>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</si>
  <si>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</si>
  <si>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</si>
  <si>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</si>
  <si>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</si>
  <si>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</si>
  <si>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</si>
  <si>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</si>
  <si>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</si>
  <si>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</si>
  <si>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</si>
  <si>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</si>
  <si>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</si>
  <si>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</si>
  <si>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</si>
  <si>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</si>
  <si>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</si>
  <si>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</si>
  <si>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</si>
  <si>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</si>
  <si>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</si>
  <si>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</si>
  <si>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</si>
  <si>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</si>
  <si>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</si>
  <si>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</si>
  <si>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</si>
  <si>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</si>
  <si>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</si>
  <si>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</si>
  <si>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</si>
  <si>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</si>
  <si>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</si>
  <si>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</si>
  <si>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</si>
  <si>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</si>
  <si>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</si>
  <si>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</si>
  <si>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</si>
  <si>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</si>
  <si>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</si>
  <si>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</si>
  <si>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</si>
  <si>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</si>
  <si>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</si>
  <si>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</si>
  <si>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</si>
  <si>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</si>
  <si>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</si>
  <si>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</si>
  <si>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</si>
  <si>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</si>
  <si>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</si>
  <si>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</si>
  <si>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</si>
  <si>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</si>
  <si>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</si>
  <si>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</si>
  <si>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</si>
  <si>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</si>
  <si>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</si>
  <si>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</si>
  <si>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</si>
  <si>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</si>
  <si>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</si>
  <si>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</si>
  <si>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</si>
  <si>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</si>
  <si>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</si>
  <si>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</si>
  <si>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</si>
  <si>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</si>
  <si>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</si>
  <si>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</si>
  <si>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</si>
  <si>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</si>
  <si>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</si>
  <si>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</si>
  <si>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</si>
  <si>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</si>
  <si>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</si>
  <si>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</si>
  <si>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</si>
  <si>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</si>
  <si>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</si>
  <si>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</si>
  <si>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</si>
  <si>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</si>
  <si>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</si>
  <si>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</si>
  <si>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</si>
  <si>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</si>
  <si>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</si>
  <si>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</si>
  <si>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</si>
  <si>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</si>
  <si>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</si>
  <si>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</si>
  <si>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</si>
  <si>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</si>
  <si>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</si>
  <si>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</si>
  <si>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</si>
  <si>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</si>
  <si>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</si>
  <si>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</si>
  <si>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</si>
  <si>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</si>
  <si>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</si>
  <si>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</si>
  <si>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</si>
  <si>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</si>
  <si>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</si>
  <si>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</si>
  <si>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</si>
  <si>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</si>
  <si>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</si>
  <si>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</si>
  <si>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</si>
  <si>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</si>
  <si>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</si>
  <si>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</si>
  <si>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</si>
  <si>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</si>
  <si>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</si>
  <si>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</si>
  <si>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</si>
  <si>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</si>
  <si>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</si>
  <si>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</si>
  <si>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</si>
  <si>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</si>
  <si>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</si>
  <si>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</si>
  <si>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</si>
  <si>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</si>
  <si>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</si>
  <si>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</si>
  <si>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</si>
  <si>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</si>
  <si>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</si>
  <si>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</si>
  <si>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</si>
  <si>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</si>
  <si>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</si>
  <si>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</si>
  <si>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</si>
  <si>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</si>
  <si>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</si>
  <si>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</si>
  <si>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</si>
  <si>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</si>
  <si>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</si>
  <si>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</si>
  <si>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</si>
  <si>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</si>
  <si>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</si>
  <si>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</si>
  <si>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</si>
  <si>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</si>
  <si>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</si>
  <si>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</si>
  <si>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</si>
  <si>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</si>
  <si>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</si>
  <si>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</si>
  <si>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</si>
  <si>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</si>
  <si>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</si>
  <si>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</si>
  <si>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</si>
  <si>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</si>
  <si>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</si>
  <si>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</si>
  <si>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</si>
  <si>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</si>
  <si>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</si>
  <si>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</si>
  <si>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</si>
  <si>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</si>
  <si>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</si>
  <si>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</si>
  <si>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</si>
  <si>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</si>
  <si>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</si>
  <si>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</si>
  <si>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</si>
  <si>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</si>
  <si>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</si>
  <si>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</si>
  <si>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</si>
  <si>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</si>
  <si>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</si>
  <si>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</si>
  <si>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</si>
  <si>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</si>
  <si>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</si>
  <si>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</si>
  <si>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</si>
  <si>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</si>
  <si>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</si>
  <si>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</si>
  <si>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</si>
  <si>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</si>
  <si>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</si>
  <si>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</si>
  <si>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</si>
  <si>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</si>
  <si>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</si>
  <si>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</si>
  <si>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</si>
  <si>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</si>
  <si>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</si>
  <si>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</si>
  <si>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</si>
  <si>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</si>
  <si>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</si>
  <si>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</si>
  <si>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</si>
  <si>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</si>
  <si>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</si>
  <si>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</si>
  <si>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</si>
  <si>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</si>
  <si>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</si>
  <si>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</si>
  <si>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</si>
  <si>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</si>
  <si>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</si>
  <si>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</si>
  <si>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</si>
  <si>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</si>
  <si>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</si>
  <si>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</si>
  <si>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</si>
  <si>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</si>
  <si>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</si>
  <si>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</si>
  <si>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</si>
  <si>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</si>
  <si>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</si>
  <si>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</si>
  <si>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</si>
  <si>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</si>
  <si>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</si>
  <si>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</si>
  <si>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</si>
  <si>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</si>
  <si>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</si>
  <si>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</si>
  <si>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</si>
  <si>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</si>
  <si>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</si>
  <si>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</si>
  <si>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</si>
  <si>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</si>
  <si>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</si>
  <si>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</si>
  <si>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</si>
  <si>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</si>
  <si>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</si>
  <si>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</si>
  <si>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</si>
  <si>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</si>
  <si>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</si>
  <si>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</si>
  <si>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</si>
  <si>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</si>
  <si>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</si>
  <si>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</si>
  <si>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</si>
  <si>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</si>
  <si>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</si>
  <si>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</si>
  <si>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</si>
  <si>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</si>
  <si>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</si>
  <si>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</si>
  <si>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</si>
  <si>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</si>
  <si>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</si>
  <si>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</si>
  <si>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</si>
  <si>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</si>
  <si>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</si>
  <si>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</si>
  <si>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</si>
  <si>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</si>
  <si>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</si>
  <si>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</si>
  <si>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</si>
  <si>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</si>
  <si>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</si>
  <si>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</si>
  <si>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</si>
  <si>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</si>
  <si>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</si>
  <si>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</si>
  <si>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</si>
  <si>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</si>
  <si>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</si>
  <si>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</si>
  <si>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</si>
  <si>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</si>
  <si>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</si>
  <si>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</si>
  <si>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</si>
  <si>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</si>
  <si>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</si>
  <si>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</si>
  <si>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</si>
  <si>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</si>
  <si>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</si>
  <si>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</si>
  <si>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</si>
  <si>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</si>
  <si>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</si>
  <si>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</si>
  <si>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</si>
  <si>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</si>
  <si>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</si>
  <si>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</si>
  <si>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</si>
  <si>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</si>
  <si>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</si>
  <si>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</si>
  <si>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</si>
  <si>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</si>
  <si>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</si>
  <si>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</si>
  <si>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</si>
  <si>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</si>
  <si>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</si>
  <si>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</si>
  <si>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</si>
  <si>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</si>
  <si>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</si>
  <si>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</si>
  <si>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</si>
  <si>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</si>
  <si>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</si>
  <si>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</si>
  <si>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</si>
  <si>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</si>
  <si>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</si>
  <si>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</si>
  <si>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</si>
  <si>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</si>
  <si>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</si>
  <si>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</si>
  <si>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</si>
  <si>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</si>
  <si>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</si>
  <si>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</si>
  <si>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</si>
  <si>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</si>
  <si>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</si>
  <si>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</si>
  <si>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</si>
  <si>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</si>
  <si>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</si>
  <si>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</si>
  <si>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</si>
  <si>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</si>
  <si>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</si>
  <si>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</si>
  <si>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</si>
  <si>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</si>
  <si>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</si>
  <si>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</si>
  <si>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</si>
  <si>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</si>
  <si>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</si>
  <si>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</si>
  <si>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</si>
  <si>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</si>
  <si>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</si>
  <si>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</si>
  <si>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</si>
  <si>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</si>
  <si>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</si>
  <si>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</si>
  <si>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</si>
  <si>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</si>
  <si>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</si>
  <si>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</si>
  <si>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</si>
  <si>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</si>
  <si>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</si>
  <si>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</si>
  <si>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</si>
  <si>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</si>
  <si>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</si>
  <si>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</si>
  <si>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</si>
  <si>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</si>
  <si>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</si>
  <si>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</si>
  <si>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</si>
  <si>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</si>
  <si>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</si>
  <si>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</si>
  <si>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</si>
  <si>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</si>
  <si>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</si>
  <si>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</si>
  <si>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</si>
  <si>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</si>
  <si>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</si>
  <si>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</si>
  <si>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</si>
  <si>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</si>
  <si>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</si>
  <si>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</si>
  <si>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</si>
  <si>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</si>
  <si>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</si>
  <si>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</si>
  <si>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</si>
  <si>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</si>
  <si>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</si>
  <si>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</si>
  <si>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</si>
  <si>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</si>
  <si>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</si>
  <si>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</si>
  <si>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</si>
  <si>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</si>
  <si>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</si>
  <si>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</si>
  <si>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</si>
  <si>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</si>
  <si>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</si>
  <si>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</si>
  <si>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</si>
  <si>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</si>
  <si>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</si>
  <si>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</si>
  <si>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</si>
  <si>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</si>
  <si>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</si>
  <si>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</si>
  <si>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</si>
  <si>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</si>
  <si>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</si>
  <si>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</si>
  <si>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</si>
  <si>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</si>
  <si>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</si>
  <si>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</si>
  <si>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</si>
  <si>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</si>
  <si>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</si>
  <si>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</si>
  <si>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</si>
  <si>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</si>
  <si>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</si>
  <si>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</si>
  <si>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</si>
  <si>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</si>
  <si>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</si>
  <si>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</si>
  <si>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</si>
  <si>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</si>
  <si>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</si>
  <si>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</si>
  <si>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</si>
  <si>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</si>
  <si>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</si>
  <si>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</si>
  <si>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</si>
  <si>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</si>
  <si>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</si>
  <si>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</si>
  <si>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</si>
  <si>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</si>
  <si>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</si>
  <si>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</si>
  <si>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</si>
  <si>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</si>
  <si>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</si>
  <si>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</si>
  <si>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</si>
  <si>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</si>
  <si>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</si>
  <si>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</si>
  <si>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</si>
  <si>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</si>
  <si>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</si>
  <si>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</si>
  <si>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</si>
  <si>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</si>
  <si>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</si>
  <si>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</si>
  <si>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</si>
  <si>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</si>
  <si>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</si>
  <si>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</si>
  <si>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</si>
  <si>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</si>
  <si>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</si>
  <si>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</si>
  <si>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</si>
  <si>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</si>
  <si>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</si>
  <si>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</si>
  <si>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</si>
  <si>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</si>
  <si>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</si>
  <si>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</si>
  <si>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</si>
  <si>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</si>
  <si>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</si>
  <si>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</si>
  <si>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</si>
  <si>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</si>
  <si>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</si>
  <si>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</si>
  <si>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</si>
  <si>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</si>
  <si>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</si>
  <si>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</si>
  <si>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</si>
  <si>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</si>
  <si>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</si>
  <si>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</si>
  <si>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</si>
  <si>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</si>
  <si>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</si>
  <si>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</si>
  <si>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</si>
  <si>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</si>
  <si>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</si>
  <si>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</si>
  <si>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</si>
  <si>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</si>
  <si>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</si>
  <si>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</si>
  <si>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</si>
  <si>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</si>
  <si>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</si>
  <si>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</si>
  <si>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</si>
  <si>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</si>
  <si>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</si>
  <si>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</si>
  <si>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</si>
  <si>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</si>
  <si>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</si>
  <si>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</si>
  <si>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</si>
  <si>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</si>
  <si>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</si>
  <si>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</si>
  <si>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</si>
  <si>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</si>
  <si>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</si>
  <si>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</si>
  <si>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</si>
  <si>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</si>
  <si>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</si>
  <si>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</si>
  <si>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</si>
  <si>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</si>
  <si>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</si>
  <si>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</si>
  <si>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</si>
  <si>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</si>
  <si>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</si>
  <si>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</si>
  <si>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</si>
  <si>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</si>
  <si>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</si>
  <si>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</si>
  <si>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</si>
  <si>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</si>
  <si>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</si>
  <si>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</si>
  <si>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</si>
  <si>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</si>
  <si>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</si>
  <si>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</si>
  <si>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</si>
  <si>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</si>
  <si>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</si>
  <si>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</si>
  <si>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</si>
  <si>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</si>
  <si>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</si>
  <si>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</si>
  <si>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</si>
  <si>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</si>
  <si>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</si>
  <si>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</si>
  <si>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</si>
  <si>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</si>
  <si>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</si>
  <si>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</si>
  <si>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</si>
  <si>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</si>
  <si>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</si>
  <si>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</si>
  <si>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</si>
  <si>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</si>
  <si>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</si>
  <si>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</si>
  <si>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</si>
  <si>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</si>
  <si>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</si>
  <si>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</si>
  <si>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</si>
  <si>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</si>
  <si>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</si>
  <si>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</si>
  <si>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</si>
  <si>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</si>
  <si>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</si>
  <si>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</si>
  <si>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</si>
  <si>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</si>
  <si>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</si>
  <si>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</si>
  <si>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</si>
  <si>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</si>
  <si>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</si>
  <si>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</si>
  <si>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</si>
  <si>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</si>
  <si>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</si>
  <si>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</si>
  <si>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</si>
  <si>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</si>
  <si>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</si>
  <si>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</si>
  <si>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</si>
  <si>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</si>
  <si>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</si>
  <si>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</si>
  <si>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</si>
  <si>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</si>
  <si>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</si>
  <si>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</si>
  <si>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</si>
  <si>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</si>
  <si>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</si>
  <si>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</si>
  <si>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</si>
  <si>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</si>
  <si>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</si>
  <si>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</si>
  <si>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</si>
  <si>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</si>
  <si>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</si>
  <si>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</si>
  <si>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</si>
  <si>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</si>
  <si>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</si>
  <si>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</si>
  <si>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</si>
  <si>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</si>
  <si>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</si>
  <si>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</si>
  <si>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</si>
  <si>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</si>
  <si>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</si>
  <si>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</si>
  <si>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</si>
  <si>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</si>
  <si>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</si>
  <si>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</si>
  <si>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</si>
  <si>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</si>
  <si>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</si>
  <si>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</si>
  <si>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</si>
  <si>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</si>
  <si>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</si>
  <si>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</si>
  <si>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</si>
  <si>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</si>
  <si>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</si>
  <si>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</si>
  <si>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</si>
  <si>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</si>
  <si>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</si>
  <si>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</si>
  <si>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</si>
  <si>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</si>
  <si>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</si>
  <si>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</si>
  <si>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</si>
  <si>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</si>
  <si>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</si>
  <si>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</si>
  <si>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</si>
  <si>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</si>
  <si>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</si>
  <si>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</si>
  <si>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</si>
  <si>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</si>
  <si>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</si>
  <si>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</si>
  <si>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</si>
  <si>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</si>
  <si>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</si>
  <si>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</si>
  <si>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</si>
  <si>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</si>
  <si>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</si>
  <si>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</si>
  <si>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</si>
  <si>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</si>
  <si>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</si>
  <si>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</si>
  <si>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</si>
  <si>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</si>
  <si>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</si>
  <si>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</si>
  <si>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</si>
  <si>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</si>
  <si>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</si>
  <si>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</si>
  <si>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</si>
  <si>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</si>
  <si>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</si>
  <si>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</si>
  <si>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</si>
  <si>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</si>
  <si>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</si>
  <si>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</si>
  <si>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</si>
  <si>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</si>
  <si>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</si>
  <si>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</si>
  <si>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</si>
  <si>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</si>
  <si>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</si>
  <si>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</si>
  <si>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</si>
  <si>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</si>
  <si>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</si>
  <si>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</si>
  <si>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</si>
  <si>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</si>
  <si>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</si>
  <si>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</si>
  <si>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</si>
  <si>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</si>
  <si>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</si>
  <si>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</si>
  <si>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</si>
  <si>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</si>
  <si>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</si>
  <si>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</si>
  <si>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</si>
  <si>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</si>
  <si>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</si>
  <si>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</si>
  <si>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</si>
  <si>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</si>
  <si>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</si>
  <si>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</si>
  <si>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</si>
  <si>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</si>
  <si>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</si>
  <si>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</si>
  <si>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</si>
  <si>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</si>
  <si>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</si>
  <si>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</si>
  <si>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</si>
  <si>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</si>
  <si>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</si>
  <si>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</si>
  <si>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</si>
  <si>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</si>
  <si>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</si>
  <si>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</si>
  <si>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</si>
  <si>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</si>
  <si>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</si>
  <si>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</si>
  <si>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</si>
  <si>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</si>
  <si>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</si>
  <si>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</si>
  <si>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</si>
  <si>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</si>
  <si>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</si>
  <si>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</si>
  <si>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</si>
  <si>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</si>
  <si>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</si>
  <si>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</si>
  <si>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</si>
  <si>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</si>
  <si>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</si>
  <si>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</si>
  <si>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</si>
  <si>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</si>
  <si>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</si>
  <si>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</si>
  <si>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</si>
  <si>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</si>
  <si>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</si>
  <si>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</si>
  <si>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</si>
  <si>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</si>
  <si>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</si>
  <si>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</si>
  <si>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</si>
  <si>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</si>
  <si>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</si>
  <si>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</si>
  <si>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</si>
  <si>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</si>
  <si>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</si>
  <si>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</si>
  <si>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</si>
  <si>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</si>
  <si>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</si>
  <si>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</si>
  <si>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</si>
  <si>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</si>
  <si>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</si>
  <si>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</si>
  <si>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</si>
  <si>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</si>
  <si>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</si>
  <si>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</si>
  <si>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</si>
  <si>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</si>
  <si>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</si>
  <si>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</si>
  <si>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</si>
  <si>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</si>
  <si>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</si>
  <si>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</si>
  <si>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</si>
  <si>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</si>
  <si>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</si>
  <si>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</si>
  <si>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</si>
  <si>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</si>
  <si>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</si>
  <si>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</si>
  <si>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</si>
  <si>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</si>
  <si>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</si>
  <si>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</si>
  <si>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</si>
  <si>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</si>
  <si>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</si>
  <si>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</si>
  <si>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</si>
  <si>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</si>
  <si>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</si>
  <si>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</si>
  <si>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</si>
  <si>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</si>
  <si>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</si>
  <si>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</si>
  <si>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</si>
  <si>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</si>
  <si>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</si>
  <si>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</si>
  <si>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</si>
  <si>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</si>
  <si>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</si>
  <si>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</si>
  <si>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</si>
  <si>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</si>
  <si>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</si>
  <si>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</si>
  <si>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</si>
  <si>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</si>
  <si>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</si>
  <si>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</si>
  <si>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</si>
  <si>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</si>
  <si>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</si>
  <si>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</si>
  <si>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</si>
  <si>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</si>
  <si>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</si>
  <si>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</si>
  <si>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</si>
  <si>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</si>
  <si>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</si>
  <si>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</si>
  <si>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</si>
  <si>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</si>
  <si>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</si>
  <si>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</si>
  <si>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</si>
  <si>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</si>
  <si>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</si>
  <si>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</si>
  <si>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</si>
  <si>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</si>
  <si>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</si>
  <si>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</si>
  <si>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</si>
  <si>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</si>
  <si>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</si>
  <si>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</si>
  <si>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</si>
  <si>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</si>
  <si>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</si>
  <si>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</si>
  <si>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</si>
  <si>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</si>
  <si>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</si>
  <si>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</si>
  <si>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</si>
  <si>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</si>
  <si>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</si>
  <si>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</si>
  <si>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</si>
  <si>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</si>
  <si>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</si>
  <si>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</si>
  <si>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</si>
  <si>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</si>
  <si>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</si>
  <si>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</si>
  <si>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</si>
  <si>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</si>
  <si>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</si>
  <si>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</si>
  <si>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</si>
  <si>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</si>
  <si>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</si>
  <si>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</si>
  <si>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</si>
  <si>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</si>
  <si>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</si>
  <si>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</si>
  <si>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</si>
  <si>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</si>
  <si>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</si>
  <si>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</si>
  <si>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</si>
  <si>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</si>
  <si>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</si>
  <si>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</si>
  <si>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</si>
  <si>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</si>
  <si>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</si>
  <si>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</si>
  <si>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</si>
  <si>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</si>
  <si>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</si>
  <si>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</si>
  <si>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</si>
  <si>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</si>
  <si>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</si>
  <si>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</si>
  <si>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</si>
  <si>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</si>
  <si>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</si>
  <si>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</si>
  <si>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</si>
  <si>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</si>
  <si>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</si>
  <si>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</si>
  <si>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</si>
  <si>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</si>
  <si>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</si>
  <si>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</si>
  <si>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</si>
  <si>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</si>
  <si>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</si>
  <si>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</si>
  <si>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</si>
  <si>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</si>
  <si>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</si>
  <si>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</si>
  <si>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</si>
  <si>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</si>
  <si>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</si>
  <si>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</si>
  <si>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</si>
  <si>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</si>
  <si>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</si>
  <si>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</si>
  <si>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</si>
  <si>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</si>
  <si>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</si>
  <si>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</si>
  <si>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</si>
  <si>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</si>
  <si>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</si>
  <si>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</si>
  <si>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</si>
  <si>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</si>
  <si>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</si>
  <si>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</si>
  <si>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</si>
  <si>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</si>
  <si>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</si>
  <si>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</si>
  <si>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</si>
  <si>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</si>
  <si>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</si>
  <si>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</si>
  <si>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</si>
  <si>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</si>
  <si>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</si>
  <si>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</si>
  <si>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</si>
  <si>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</si>
  <si>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</si>
  <si>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</si>
  <si>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</si>
  <si>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</si>
  <si>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</si>
  <si>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</si>
  <si>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</si>
  <si>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</si>
  <si>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</si>
  <si>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</si>
  <si>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</si>
  <si>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</si>
  <si>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</si>
  <si>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</si>
  <si>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</si>
  <si>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</si>
  <si>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</si>
  <si>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</si>
  <si>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</si>
  <si>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</si>
  <si>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</si>
  <si>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</si>
  <si>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</si>
  <si>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</si>
  <si>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</si>
  <si>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</si>
  <si>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</si>
  <si>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</si>
  <si>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</si>
  <si>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</si>
  <si>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</si>
  <si>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</si>
  <si>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</si>
  <si>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</si>
  <si>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</si>
  <si>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</si>
  <si>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</si>
  <si>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</si>
  <si>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</si>
  <si>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</si>
  <si>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</si>
  <si>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</si>
  <si>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</si>
  <si>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</si>
  <si>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</si>
  <si>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</si>
  <si>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</si>
  <si>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</si>
  <si>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</si>
  <si>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</si>
  <si>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</si>
  <si>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</si>
  <si>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</si>
  <si>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</si>
  <si>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</si>
  <si>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</si>
  <si>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</si>
  <si>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</si>
  <si>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</si>
  <si>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</si>
  <si>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</si>
  <si>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</si>
  <si>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</si>
  <si>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</si>
  <si>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</si>
  <si>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</si>
  <si>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</si>
  <si>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</si>
  <si>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</si>
  <si>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</si>
  <si>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</si>
  <si>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</si>
  <si>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</si>
  <si>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</si>
  <si>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</si>
  <si>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</si>
  <si>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</si>
  <si>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</si>
  <si>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</si>
  <si>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</si>
  <si>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</si>
  <si>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</si>
  <si>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</si>
  <si>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</si>
  <si>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</si>
  <si>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</si>
  <si>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</si>
  <si>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</si>
  <si>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</si>
  <si>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</si>
  <si>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</si>
  <si>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</si>
  <si>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</si>
  <si>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</si>
  <si>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</si>
  <si>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</si>
  <si>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</si>
  <si>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</si>
  <si>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</si>
  <si>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</si>
  <si>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</si>
  <si>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</si>
  <si>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</si>
  <si>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</si>
  <si>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</si>
  <si>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</si>
  <si>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</si>
  <si>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</si>
  <si>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</si>
  <si>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</si>
  <si>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</si>
  <si>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</si>
  <si>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</si>
  <si>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</si>
  <si>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</si>
  <si>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</si>
  <si>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</si>
  <si>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</si>
  <si>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</si>
  <si>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</si>
  <si>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</si>
  <si>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</si>
  <si>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</si>
  <si>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</si>
  <si>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</si>
  <si>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</si>
  <si>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</si>
  <si>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</si>
  <si>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</si>
  <si>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</si>
  <si>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</si>
  <si>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</si>
  <si>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</si>
  <si>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</si>
  <si>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</si>
  <si>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</si>
  <si>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</si>
  <si>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</si>
  <si>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</si>
  <si>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</si>
  <si>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</si>
  <si>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</si>
  <si>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</si>
  <si>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</si>
  <si>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</si>
  <si>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</si>
  <si>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</si>
  <si>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</si>
  <si>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</si>
  <si>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</si>
  <si>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</si>
  <si>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</si>
  <si>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</si>
  <si>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</si>
  <si>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</si>
  <si>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</si>
  <si>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</si>
  <si>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</si>
  <si>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</si>
  <si>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</si>
  <si>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</si>
  <si>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</si>
  <si>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</si>
  <si>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</si>
  <si>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</si>
  <si>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</si>
  <si>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</si>
  <si>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</si>
  <si>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</si>
  <si>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</si>
  <si>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</si>
  <si>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</si>
  <si>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</si>
  <si>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</si>
  <si>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</si>
  <si>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</si>
  <si>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</si>
  <si>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</si>
  <si>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</si>
  <si>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</si>
  <si>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</si>
  <si>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</si>
  <si>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</si>
  <si>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</si>
  <si>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</si>
  <si>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</si>
  <si>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</si>
  <si>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</si>
  <si>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</si>
  <si>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</si>
  <si>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</si>
  <si>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</si>
  <si>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</si>
  <si>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</si>
  <si>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</si>
  <si>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</si>
  <si>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</si>
  <si>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</si>
  <si>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</si>
  <si>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</si>
  <si>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</si>
  <si>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</si>
  <si>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</si>
  <si>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</si>
  <si>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</si>
  <si>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</si>
  <si>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</si>
  <si>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</si>
  <si>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</si>
  <si>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</si>
  <si>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</si>
  <si>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</si>
  <si>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</si>
  <si>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</si>
  <si>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</si>
  <si>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</si>
  <si>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</si>
  <si>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</si>
  <si>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</si>
  <si>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</si>
  <si>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</si>
  <si>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</si>
  <si>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</si>
  <si>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</si>
  <si>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</si>
  <si>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</si>
  <si>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</si>
  <si>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</si>
  <si>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</si>
  <si>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</si>
  <si>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</si>
  <si>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</si>
  <si>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</si>
  <si>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</si>
  <si>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</si>
  <si>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</si>
  <si>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</si>
  <si>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</si>
  <si>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</si>
  <si>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</si>
  <si>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</si>
  <si>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</si>
  <si>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</si>
  <si>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</si>
  <si>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</si>
  <si>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</si>
  <si>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</si>
  <si>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</si>
  <si>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</si>
  <si>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</si>
  <si>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</si>
  <si>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</si>
  <si>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</si>
  <si>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</si>
  <si>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</si>
  <si>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</si>
  <si>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</si>
  <si>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</si>
  <si>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</si>
  <si>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</si>
  <si>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</si>
  <si>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</si>
  <si>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</si>
  <si>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</si>
  <si>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</si>
  <si>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</si>
  <si>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</si>
  <si>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</si>
  <si>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</si>
  <si>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</si>
  <si>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</si>
  <si>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</si>
  <si>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</si>
  <si>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</si>
  <si>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</si>
  <si>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</si>
  <si>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</si>
  <si>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</si>
  <si>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</si>
  <si>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</si>
  <si>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</si>
  <si>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</si>
  <si>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</si>
  <si>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</si>
  <si>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</si>
  <si>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</si>
  <si>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</si>
  <si>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</si>
  <si>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</si>
  <si>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</si>
  <si>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</si>
  <si>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</si>
  <si>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</si>
  <si>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</si>
  <si>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</si>
  <si>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</si>
  <si>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</si>
  <si>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</si>
  <si>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</si>
  <si>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</si>
  <si>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</si>
  <si>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</si>
  <si>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</si>
  <si>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</si>
  <si>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</si>
  <si>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</si>
  <si>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</si>
  <si>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</si>
  <si>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</si>
  <si>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</si>
  <si>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</si>
  <si>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</si>
  <si>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</si>
  <si>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</si>
  <si>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</si>
  <si>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</si>
  <si>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</si>
  <si>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</si>
  <si>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</si>
  <si>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</si>
  <si>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</si>
  <si>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</si>
  <si>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</si>
  <si>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</si>
  <si>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</si>
  <si>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</si>
  <si>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</si>
  <si>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</si>
  <si>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</si>
  <si>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</si>
  <si>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</si>
  <si>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</si>
  <si>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</si>
  <si>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</si>
  <si>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</si>
  <si>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</si>
  <si>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</si>
  <si>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</si>
  <si>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</si>
  <si>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</si>
  <si>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</si>
  <si>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</si>
  <si>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</si>
  <si>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</si>
  <si>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</si>
  <si>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</si>
  <si>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</si>
  <si>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</si>
  <si>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</si>
  <si>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</si>
  <si>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</si>
  <si>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</si>
  <si>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</si>
  <si>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</si>
  <si>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</si>
  <si>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</si>
  <si>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</si>
  <si>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</si>
  <si>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</si>
  <si>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</si>
  <si>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</si>
  <si>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</si>
  <si>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</si>
  <si>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</si>
  <si>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</si>
  <si>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</si>
  <si>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</si>
  <si>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</si>
  <si>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</si>
  <si>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</si>
  <si>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</si>
  <si>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</si>
  <si>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</si>
  <si>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</si>
  <si>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</si>
  <si>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</si>
  <si>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</si>
  <si>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</si>
  <si>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</si>
  <si>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</si>
  <si>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</si>
  <si>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</si>
  <si>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</si>
  <si>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</si>
  <si>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</si>
  <si>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</si>
  <si>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</si>
  <si>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</si>
  <si>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</si>
  <si>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</si>
  <si>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</si>
  <si>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</si>
  <si>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</si>
  <si>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</si>
  <si>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</si>
  <si>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</si>
  <si>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</si>
  <si>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</si>
  <si>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</si>
  <si>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</si>
  <si>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</si>
  <si>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</si>
  <si>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</si>
  <si>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</si>
  <si>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</si>
  <si>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</si>
  <si>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</si>
  <si>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</si>
  <si>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</si>
  <si>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</si>
  <si>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</si>
  <si>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</si>
  <si>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</si>
  <si>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</si>
  <si>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</si>
  <si>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</si>
  <si>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</si>
  <si>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</si>
  <si>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</si>
  <si>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</si>
  <si>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</si>
  <si>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</si>
  <si>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</si>
  <si>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</si>
  <si>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</si>
  <si>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</si>
  <si>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</si>
  <si>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</si>
  <si>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</si>
  <si>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</si>
  <si>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</si>
  <si>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</si>
  <si>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</si>
  <si>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</si>
  <si>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</si>
  <si>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</si>
  <si>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</si>
  <si>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</si>
  <si>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</si>
  <si>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</si>
  <si>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</si>
  <si>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</si>
  <si>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</si>
  <si>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</si>
  <si>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</si>
  <si>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</si>
  <si>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</si>
  <si>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</si>
  <si>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</si>
  <si>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</si>
  <si>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</si>
  <si>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</si>
  <si>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</si>
  <si>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</si>
  <si>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</si>
  <si>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</si>
  <si>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</si>
  <si>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</si>
  <si>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</si>
  <si>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</si>
  <si>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</si>
  <si>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</si>
  <si>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</si>
  <si>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</si>
  <si>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</si>
  <si>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</si>
  <si>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</si>
  <si>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</si>
  <si>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</si>
  <si>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</si>
  <si>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</si>
  <si>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</si>
  <si>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</si>
  <si>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</si>
  <si>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</si>
  <si>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</si>
  <si>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</si>
  <si>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</si>
  <si>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</si>
  <si>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</si>
  <si>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</si>
  <si>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</si>
  <si>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</si>
  <si>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</si>
  <si>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</si>
  <si>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</si>
  <si>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</si>
  <si>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</si>
  <si>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</si>
  <si>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</si>
  <si>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</si>
  <si>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</si>
  <si>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</si>
  <si>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</si>
  <si>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</si>
  <si>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</si>
  <si>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</si>
  <si>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</si>
  <si>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</si>
  <si>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</si>
  <si>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</si>
  <si>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</si>
  <si>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</si>
  <si>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</si>
  <si>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</si>
  <si>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</si>
  <si>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</si>
  <si>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</si>
  <si>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</si>
  <si>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</si>
  <si>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</si>
  <si>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</si>
  <si>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</si>
  <si>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</si>
  <si>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</si>
  <si>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</si>
  <si>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</si>
  <si>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</si>
  <si>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</si>
  <si>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</si>
  <si>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</si>
  <si>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</si>
  <si>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</si>
  <si>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</si>
  <si>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</si>
  <si>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</si>
  <si>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</si>
  <si>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</si>
  <si>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</si>
  <si>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</si>
  <si>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</si>
  <si>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</si>
  <si>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</si>
  <si>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</si>
  <si>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</si>
  <si>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</si>
  <si>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</si>
  <si>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</si>
  <si>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</si>
  <si>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</si>
  <si>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</si>
  <si>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</si>
  <si>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</si>
  <si>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</si>
  <si>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</si>
  <si>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</si>
  <si>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</si>
  <si>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</si>
  <si>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</si>
  <si>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</si>
  <si>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</si>
  <si>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</si>
  <si>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</si>
  <si>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</si>
  <si>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</si>
  <si>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</si>
  <si>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</si>
  <si>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</si>
  <si>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</si>
  <si>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</si>
  <si>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</si>
  <si>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</si>
  <si>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</si>
  <si>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</si>
  <si>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</si>
  <si>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</si>
  <si>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</si>
  <si>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</si>
  <si>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</si>
  <si>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</si>
  <si>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</si>
  <si>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</si>
  <si>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</si>
  <si>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</si>
  <si>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</si>
  <si>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</si>
  <si>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</si>
  <si>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</si>
  <si>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</si>
  <si>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</si>
  <si>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</si>
  <si>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</si>
  <si>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</si>
  <si>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</si>
  <si>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</si>
  <si>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</si>
  <si>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</si>
  <si>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</si>
  <si>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</si>
  <si>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</si>
  <si>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</si>
  <si>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</si>
  <si>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</si>
  <si>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</si>
  <si>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</si>
  <si>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</si>
  <si>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</si>
  <si>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</si>
  <si>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</si>
  <si>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</si>
  <si>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</si>
  <si>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</si>
  <si>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</si>
  <si>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</si>
  <si>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</si>
  <si>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</si>
  <si>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</si>
  <si>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</si>
  <si>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</si>
  <si>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</si>
  <si>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</si>
  <si>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</si>
  <si>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</si>
  <si>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</si>
  <si>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</si>
  <si>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</si>
  <si>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</si>
  <si>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</si>
  <si>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</si>
  <si>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</si>
  <si>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</si>
  <si>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</si>
  <si>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</si>
  <si>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</si>
  <si>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</si>
  <si>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</si>
  <si>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</si>
  <si>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</si>
  <si>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</si>
  <si>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</si>
  <si>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</si>
  <si>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</si>
  <si>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</si>
  <si>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</si>
  <si>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</si>
  <si>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</si>
  <si>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</si>
  <si>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</si>
  <si>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</si>
  <si>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</si>
  <si>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</si>
  <si>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</si>
  <si>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</si>
  <si>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</si>
  <si>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</si>
  <si>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</si>
  <si>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</si>
  <si>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</si>
  <si>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</si>
  <si>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</si>
  <si>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</si>
  <si>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</si>
  <si>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</si>
  <si>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</si>
  <si>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</si>
  <si>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</si>
  <si>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</si>
  <si>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</si>
  <si>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</si>
  <si>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</si>
  <si>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</si>
  <si>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</si>
  <si>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</si>
  <si>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</si>
  <si>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</si>
  <si>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</si>
  <si>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</si>
  <si>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</si>
  <si>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</si>
  <si>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</si>
  <si>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</si>
  <si>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</si>
  <si>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</si>
  <si>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</si>
  <si>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</si>
  <si>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</si>
  <si>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</si>
  <si>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</si>
  <si>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</si>
  <si>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</si>
  <si>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</si>
  <si>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</si>
  <si>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</si>
  <si>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</si>
  <si>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</si>
  <si>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</si>
  <si>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</si>
  <si>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</si>
  <si>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</si>
  <si>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</si>
  <si>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</si>
  <si>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</si>
  <si>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</si>
  <si>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</si>
  <si>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</si>
  <si>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</si>
  <si>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</si>
  <si>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</si>
  <si>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</si>
  <si>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</si>
  <si>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</si>
  <si>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</si>
  <si>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</si>
  <si>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</si>
  <si>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</si>
  <si>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</si>
  <si>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</si>
  <si>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</si>
  <si>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</si>
  <si>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</si>
  <si>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</si>
  <si>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</si>
  <si>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</si>
  <si>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</si>
  <si>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</si>
  <si>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</si>
  <si>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</si>
  <si>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</si>
  <si>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</si>
  <si>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</si>
  <si>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</si>
  <si>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</si>
  <si>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</si>
  <si>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</si>
  <si>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</si>
  <si>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</si>
  <si>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</si>
  <si>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</si>
  <si>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</si>
  <si>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</si>
  <si>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</si>
  <si>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</si>
  <si>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</si>
  <si>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</si>
  <si>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</si>
  <si>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</si>
  <si>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</si>
  <si>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</si>
  <si>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</si>
  <si>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</si>
  <si>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</si>
  <si>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</si>
  <si>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</si>
  <si>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</si>
  <si>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</si>
  <si>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</si>
  <si>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</si>
  <si>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</si>
  <si>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</si>
  <si>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</si>
  <si>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</si>
  <si>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</si>
  <si>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</si>
  <si>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</si>
  <si>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</si>
  <si>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</si>
  <si>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</si>
  <si>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</si>
  <si>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</si>
  <si>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</si>
  <si>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</si>
  <si>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</si>
  <si>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</si>
  <si>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</si>
  <si>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</si>
  <si>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</si>
  <si>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</si>
  <si>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</si>
  <si>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</si>
  <si>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</si>
  <si>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</si>
  <si>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</si>
  <si>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</si>
  <si>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</si>
  <si>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</si>
  <si>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</si>
  <si>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</si>
  <si>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</si>
  <si>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</si>
  <si>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</si>
  <si>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</si>
  <si>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</si>
  <si>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</si>
  <si>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</si>
  <si>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</si>
  <si>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</si>
  <si>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</si>
  <si>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</si>
  <si>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</si>
  <si>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</si>
  <si>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</si>
  <si>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</si>
  <si>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</si>
  <si>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</si>
  <si>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</si>
  <si>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</si>
  <si>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</si>
  <si>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</si>
  <si>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</si>
  <si>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</si>
  <si>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</si>
  <si>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</si>
  <si>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</si>
  <si>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</si>
  <si>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</si>
  <si>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</si>
  <si>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</si>
  <si>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</si>
  <si>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</si>
  <si>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</si>
  <si>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</si>
  <si>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</si>
  <si>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</si>
  <si>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</si>
  <si>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</si>
  <si>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</si>
  <si>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</si>
  <si>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</si>
  <si>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</si>
  <si>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</si>
  <si>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</si>
  <si>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</si>
  <si>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</si>
  <si>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</si>
  <si>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</si>
  <si>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</si>
  <si>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</si>
  <si>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</si>
  <si>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</si>
  <si>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</si>
  <si>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</si>
  <si>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</si>
  <si>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</si>
  <si>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</si>
  <si>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</si>
  <si>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</si>
  <si>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</si>
  <si>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</si>
  <si>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</si>
  <si>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</si>
  <si>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</si>
  <si>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</si>
  <si>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</si>
  <si>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</si>
  <si>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</si>
  <si>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</si>
  <si>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</si>
  <si>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</si>
  <si>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</si>
  <si>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</si>
  <si>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</si>
  <si>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</si>
  <si>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</si>
  <si>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</si>
  <si>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</si>
  <si>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</si>
  <si>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</si>
  <si>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</si>
  <si>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</si>
  <si>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</si>
  <si>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</si>
  <si>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</si>
  <si>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</si>
  <si>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</si>
  <si>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</si>
  <si>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</si>
  <si>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</si>
  <si>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</si>
  <si>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</si>
  <si>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</si>
  <si>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</si>
  <si>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</si>
  <si>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</si>
  <si>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</si>
  <si>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</si>
  <si>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</si>
  <si>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</si>
  <si>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</si>
  <si>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</si>
  <si>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</si>
  <si>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</si>
  <si>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</si>
  <si>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</si>
  <si>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</si>
  <si>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</si>
  <si>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</si>
  <si>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</si>
  <si>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</si>
  <si>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</si>
  <si>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</si>
  <si>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</si>
  <si>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</si>
  <si>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</si>
  <si>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</si>
  <si>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</si>
  <si>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</si>
  <si>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</si>
  <si>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</si>
  <si>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</si>
  <si>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</si>
  <si>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</si>
  <si>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</si>
  <si>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</si>
  <si>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</si>
  <si>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</si>
  <si>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</si>
  <si>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</si>
  <si>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</si>
  <si>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</si>
  <si>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</si>
  <si>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</si>
  <si>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</si>
  <si>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</si>
  <si>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</si>
  <si>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</si>
  <si>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</si>
  <si>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</si>
  <si>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</si>
  <si>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</si>
  <si>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</si>
  <si>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</si>
  <si>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</si>
  <si>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</si>
  <si>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</si>
  <si>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</si>
  <si>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</si>
  <si>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</si>
  <si>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</si>
  <si>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</si>
  <si>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</si>
  <si>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</si>
  <si>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</si>
  <si>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</si>
  <si>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</si>
  <si>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</si>
  <si>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</si>
  <si>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</si>
  <si>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</si>
  <si>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</si>
  <si>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</si>
  <si>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</si>
  <si>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</si>
  <si>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</si>
  <si>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</si>
  <si>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</si>
  <si>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</si>
  <si>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</si>
  <si>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</si>
  <si>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</si>
  <si>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</si>
  <si>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</si>
  <si>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</si>
  <si>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</si>
  <si>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</si>
  <si>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</si>
  <si>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</si>
  <si>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</si>
  <si>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</si>
  <si>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</si>
  <si>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</si>
  <si>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</si>
  <si>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</si>
  <si>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</si>
  <si>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</si>
  <si>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</si>
  <si>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</si>
  <si>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</si>
  <si>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</si>
  <si>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</si>
  <si>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</si>
  <si>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</si>
  <si>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</si>
  <si>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</si>
  <si>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</si>
  <si>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</si>
  <si>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</si>
  <si>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</si>
  <si>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</si>
  <si>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</si>
  <si>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</si>
  <si>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</si>
  <si>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</si>
  <si>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</si>
  <si>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</si>
  <si>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</si>
  <si>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</si>
  <si>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</si>
  <si>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</si>
  <si>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</si>
  <si>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</si>
  <si>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</si>
  <si>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</si>
  <si>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</si>
  <si>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</si>
  <si>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</si>
  <si>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</si>
  <si>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</si>
  <si>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</si>
  <si>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</si>
  <si>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</si>
  <si>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</si>
  <si>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</si>
  <si>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</si>
  <si>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</si>
  <si>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</si>
  <si>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</si>
  <si>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</si>
  <si>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</si>
  <si>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</si>
  <si>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</si>
  <si>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</si>
  <si>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</si>
  <si>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</si>
  <si>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</si>
  <si>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</si>
  <si>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</si>
  <si>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</si>
  <si>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</si>
  <si>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</si>
  <si>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</si>
  <si>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</si>
  <si>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</si>
  <si>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</si>
  <si>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</si>
  <si>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</si>
  <si>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</si>
  <si>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</si>
  <si>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</si>
  <si>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</si>
  <si>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</si>
  <si>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</si>
  <si>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</si>
  <si>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</si>
  <si>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</si>
  <si>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</si>
  <si>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</si>
  <si>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</si>
  <si>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</si>
  <si>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</si>
  <si>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</si>
  <si>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</si>
  <si>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</si>
  <si>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</si>
  <si>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</si>
  <si>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</si>
  <si>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</si>
  <si>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</si>
  <si>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</si>
  <si>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</si>
  <si>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</si>
  <si>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</si>
  <si>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</si>
  <si>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</si>
  <si>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</si>
  <si>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</si>
  <si>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</si>
  <si>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</si>
  <si>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</si>
  <si>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</si>
  <si>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</si>
  <si>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</si>
  <si>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</si>
  <si>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</si>
  <si>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</si>
  <si>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</si>
  <si>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</si>
  <si>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</si>
  <si>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</si>
  <si>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</si>
  <si>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</si>
  <si>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</si>
  <si>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</si>
  <si>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</si>
  <si>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</si>
  <si>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</si>
  <si>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</si>
  <si>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</si>
  <si>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</si>
  <si>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</si>
  <si>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</si>
  <si>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</si>
  <si>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</si>
  <si>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</si>
  <si>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</si>
  <si>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</si>
  <si>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</si>
  <si>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</si>
  <si>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</si>
  <si>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</si>
  <si>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</si>
  <si>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</si>
  <si>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</si>
  <si>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</si>
  <si>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</si>
  <si>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</si>
  <si>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</si>
  <si>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</si>
  <si>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</si>
  <si>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</si>
  <si>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</si>
  <si>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</si>
  <si>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</si>
  <si>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</si>
  <si>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</si>
  <si>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</si>
  <si>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</si>
  <si>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</si>
  <si>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</si>
  <si>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</si>
  <si>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</si>
  <si>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</si>
  <si>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</si>
  <si>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</si>
  <si>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</si>
  <si>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</si>
  <si>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</si>
  <si>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</si>
  <si>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</si>
  <si>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</si>
  <si>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</si>
  <si>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</si>
  <si>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</si>
  <si>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</si>
  <si>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</si>
  <si>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</si>
  <si>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</si>
  <si>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</si>
  <si>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</si>
  <si>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</si>
  <si>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</si>
  <si>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</si>
  <si>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</si>
  <si>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</si>
  <si>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</si>
  <si>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</si>
  <si>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</si>
  <si>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</si>
  <si>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</si>
  <si>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</si>
  <si>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</si>
  <si>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</si>
  <si>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</si>
  <si>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</si>
  <si>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</si>
  <si>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</si>
  <si>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</si>
  <si>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</si>
  <si>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</si>
  <si>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</si>
  <si>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</si>
  <si>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</si>
  <si>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</si>
  <si>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</si>
  <si>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</si>
  <si>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</si>
  <si>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</si>
  <si>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</si>
  <si>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</si>
  <si>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</si>
  <si>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</si>
  <si>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</si>
  <si>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</si>
  <si>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</si>
  <si>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</si>
  <si>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</si>
  <si>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</si>
  <si>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</si>
  <si>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</si>
  <si>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</si>
  <si>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</si>
  <si>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</si>
  <si>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</si>
  <si>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</si>
  <si>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</si>
  <si>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</si>
  <si>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</si>
  <si>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</si>
  <si>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</si>
  <si>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</si>
  <si>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</si>
  <si>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</si>
  <si>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</si>
  <si>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</si>
  <si>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</si>
  <si>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</si>
  <si>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</si>
  <si>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</si>
  <si>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</si>
  <si>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</si>
  <si>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</si>
  <si>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</si>
  <si>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</si>
  <si>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</si>
  <si>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</si>
  <si>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</si>
  <si>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</si>
  <si>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</si>
  <si>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</si>
  <si>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</si>
  <si>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</si>
  <si>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</si>
  <si>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</si>
  <si>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</si>
  <si>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</si>
  <si>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</si>
  <si>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</si>
  <si>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</si>
  <si>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</si>
  <si>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</si>
  <si>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</si>
  <si>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</si>
  <si>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</si>
  <si>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</si>
  <si>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</si>
  <si>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</si>
  <si>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</si>
  <si>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</si>
  <si>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</si>
  <si>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</si>
  <si>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</si>
  <si>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</si>
  <si>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</si>
  <si>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</si>
  <si>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</si>
  <si>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</si>
  <si>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</si>
  <si>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</si>
  <si>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</si>
  <si>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</si>
  <si>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</si>
  <si>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</si>
  <si>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</si>
  <si>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</si>
  <si>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</si>
  <si>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</si>
  <si>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</si>
  <si>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</si>
  <si>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</si>
  <si>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</si>
  <si>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</si>
  <si>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</si>
  <si>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</si>
  <si>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</si>
  <si>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</si>
  <si>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</si>
  <si>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</si>
  <si>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</si>
  <si>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</si>
  <si>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</si>
  <si>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</si>
  <si>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</si>
  <si>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</si>
  <si>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</si>
  <si>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</si>
  <si>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</si>
  <si>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</si>
  <si>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</si>
  <si>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</si>
  <si>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</si>
  <si>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</si>
  <si>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</si>
  <si>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</si>
  <si>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</si>
  <si>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</si>
  <si>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</si>
  <si>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</si>
  <si>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</si>
  <si>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</si>
  <si>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</si>
  <si>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</si>
  <si>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</si>
  <si>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</si>
  <si>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</si>
  <si>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</si>
  <si>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</si>
  <si>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</si>
  <si>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</si>
  <si>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</si>
  <si>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</si>
  <si>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</si>
  <si>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</si>
  <si>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</si>
  <si>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</si>
  <si>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</si>
  <si>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</si>
  <si>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</si>
  <si>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</si>
  <si>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</si>
  <si>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</si>
  <si>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</si>
  <si>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</si>
  <si>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</si>
  <si>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</si>
  <si>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</si>
  <si>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</si>
  <si>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</si>
  <si>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</si>
  <si>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</si>
  <si>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</si>
  <si>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</si>
  <si>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</si>
  <si>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</si>
  <si>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</si>
  <si>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</si>
  <si>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</si>
  <si>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</si>
  <si>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</si>
  <si>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</si>
  <si>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</si>
  <si>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</si>
  <si>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</si>
  <si>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</si>
  <si>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</si>
  <si>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</si>
  <si>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</si>
  <si>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</si>
  <si>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</si>
  <si>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</si>
  <si>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</si>
  <si>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</si>
  <si>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</si>
  <si>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</si>
  <si>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</si>
  <si>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</si>
  <si>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</si>
  <si>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</si>
  <si>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</si>
  <si>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</si>
  <si>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</si>
  <si>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</si>
  <si>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</si>
  <si>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</si>
  <si>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</si>
  <si>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</si>
  <si>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</si>
  <si>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</si>
  <si>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</si>
  <si>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</si>
  <si>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</si>
  <si>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</si>
  <si>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</si>
  <si>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</si>
  <si>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</si>
  <si>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</si>
  <si>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</si>
  <si>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</si>
  <si>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</si>
  <si>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</si>
  <si>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</si>
  <si>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</si>
  <si>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</si>
  <si>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</si>
  <si>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</si>
  <si>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</si>
  <si>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</si>
  <si>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</si>
  <si>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</si>
  <si>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</si>
  <si>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</si>
  <si>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</si>
  <si>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</si>
  <si>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</si>
  <si>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</si>
  <si>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</si>
  <si>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</si>
  <si>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</si>
  <si>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</si>
  <si>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</si>
  <si>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</si>
  <si>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</si>
  <si>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</si>
  <si>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</si>
  <si>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</si>
  <si>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</si>
  <si>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</si>
  <si>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</si>
  <si>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</si>
  <si>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</si>
  <si>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</si>
  <si>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</si>
  <si>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</si>
  <si>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</si>
  <si>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</si>
  <si>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</si>
  <si>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</si>
  <si>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</si>
  <si>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</si>
  <si>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</si>
  <si>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</si>
  <si>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</si>
  <si>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</si>
  <si>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</si>
  <si>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</si>
  <si>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</si>
  <si>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</si>
  <si>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</si>
  <si>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</si>
  <si>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</si>
  <si>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</si>
  <si>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</si>
  <si>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</si>
  <si>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</si>
  <si>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</si>
  <si>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</si>
  <si>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</si>
  <si>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</si>
  <si>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</si>
  <si>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</si>
  <si>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</si>
  <si>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</si>
  <si>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</si>
  <si>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</si>
  <si>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</si>
  <si>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</si>
  <si>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</si>
  <si>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</si>
  <si>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</si>
  <si>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</si>
  <si>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</si>
  <si>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</si>
  <si>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</si>
  <si>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</si>
  <si>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</si>
  <si>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</si>
  <si>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</si>
  <si>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</si>
  <si>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</si>
  <si>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</si>
  <si>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</si>
  <si>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</si>
  <si>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</si>
  <si>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</si>
  <si>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</si>
  <si>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</si>
  <si>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</si>
  <si>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</si>
  <si>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</si>
  <si>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</si>
  <si>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</si>
  <si>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</si>
  <si>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</si>
  <si>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</si>
  <si>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</si>
  <si>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</si>
  <si>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</si>
  <si>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</si>
  <si>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</si>
  <si>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</si>
  <si>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</si>
  <si>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</si>
  <si>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</si>
  <si>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</si>
  <si>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</si>
  <si>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</si>
  <si>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</si>
  <si>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</si>
  <si>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</si>
  <si>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</si>
  <si>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</si>
  <si>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</si>
  <si>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</si>
  <si>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</si>
  <si>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</si>
  <si>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</si>
  <si>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</si>
  <si>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</si>
  <si>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</si>
  <si>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</si>
  <si>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</si>
  <si>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</si>
  <si>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</si>
  <si>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</si>
  <si>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</si>
  <si>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</si>
  <si>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</si>
  <si>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</si>
  <si>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</si>
  <si>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</si>
  <si>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</si>
  <si>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</si>
  <si>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</si>
  <si>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</si>
  <si>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</si>
  <si>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</si>
  <si>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</si>
  <si>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</si>
  <si>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</si>
  <si>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</si>
  <si>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</si>
  <si>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</si>
  <si>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</si>
  <si>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</si>
  <si>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</si>
  <si>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</si>
  <si>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</si>
  <si>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</si>
  <si>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</si>
  <si>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</si>
  <si>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</si>
  <si>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</si>
  <si>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</si>
  <si>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</si>
  <si>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</si>
  <si>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</si>
  <si>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</si>
  <si>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</si>
  <si>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</si>
  <si>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</si>
  <si>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</si>
  <si>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</si>
  <si>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</si>
  <si>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</si>
  <si>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</si>
  <si>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</si>
  <si>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</si>
  <si>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</si>
  <si>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</si>
  <si>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</si>
  <si>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</si>
  <si>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</si>
  <si>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</si>
  <si>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</si>
  <si>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</si>
  <si>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</si>
  <si>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</si>
  <si>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</si>
  <si>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</si>
  <si>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</si>
  <si>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</si>
  <si>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</si>
  <si>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</si>
  <si>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</si>
  <si>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</si>
  <si>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</si>
  <si>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</si>
  <si>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</si>
  <si>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</si>
  <si>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</si>
  <si>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</si>
  <si>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</si>
  <si>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</si>
  <si>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</si>
  <si>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</si>
  <si>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</si>
  <si>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</si>
  <si>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</si>
  <si>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</si>
  <si>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</si>
  <si>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</si>
  <si>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</si>
  <si>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</si>
  <si>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</si>
  <si>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</si>
  <si>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</si>
  <si>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</si>
  <si>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</si>
  <si>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</si>
  <si>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</si>
  <si>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</si>
  <si>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</si>
  <si>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</si>
  <si>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</si>
  <si>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</si>
  <si>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</si>
  <si>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</si>
  <si>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</si>
  <si>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</si>
  <si>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</si>
  <si>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</si>
  <si>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</si>
  <si>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</si>
  <si>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</si>
  <si>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</si>
  <si>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</si>
  <si>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</si>
  <si>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</si>
  <si>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</si>
  <si>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</si>
  <si>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</si>
  <si>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</si>
  <si>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</si>
  <si>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</si>
  <si>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</si>
  <si>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</si>
  <si>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</si>
  <si>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</si>
  <si>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</si>
  <si>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</si>
  <si>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</si>
  <si>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</si>
  <si>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</si>
  <si>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</si>
  <si>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</si>
  <si>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</si>
  <si>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</si>
  <si>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</si>
  <si>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</si>
  <si>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</si>
  <si>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</si>
  <si>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</si>
  <si>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</si>
  <si>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</si>
  <si>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</si>
  <si>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</si>
  <si>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</si>
  <si>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</si>
  <si>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</si>
  <si>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</si>
  <si>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</si>
  <si>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</si>
  <si>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</si>
  <si>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</si>
  <si>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</si>
  <si>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</si>
  <si>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</si>
  <si>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</si>
  <si>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</si>
  <si>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</si>
  <si>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</si>
  <si>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</si>
  <si>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</si>
  <si>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</si>
  <si>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</si>
  <si>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</si>
  <si>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</si>
  <si>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</si>
  <si>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</si>
  <si>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</si>
  <si>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</si>
  <si>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</si>
  <si>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</si>
  <si>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</si>
  <si>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</si>
  <si>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</si>
  <si>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</si>
  <si>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</si>
  <si>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</si>
  <si>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</si>
  <si>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</si>
  <si>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</si>
  <si>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</si>
  <si>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</si>
  <si>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</si>
  <si>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</si>
  <si>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</si>
  <si>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</si>
  <si>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</si>
  <si>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</si>
  <si>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</si>
  <si>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</si>
  <si>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</si>
  <si>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</si>
  <si>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</si>
  <si>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</si>
  <si>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</si>
  <si>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</si>
  <si>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</si>
  <si>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</si>
  <si>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</si>
  <si>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</si>
  <si>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</si>
  <si>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</si>
  <si>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</si>
  <si>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</si>
  <si>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</si>
  <si>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</si>
  <si>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</si>
  <si>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</si>
  <si>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</si>
  <si>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</si>
  <si>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</si>
  <si>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</si>
  <si>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</si>
  <si>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</si>
  <si>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</si>
  <si>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</si>
  <si>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</si>
  <si>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</si>
  <si>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</si>
  <si>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</si>
  <si>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</si>
  <si>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</si>
  <si>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</si>
  <si>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</si>
  <si>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</si>
  <si>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</si>
  <si>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</si>
  <si>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</si>
  <si>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</si>
  <si>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</si>
  <si>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</si>
  <si>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</si>
  <si>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</si>
  <si>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</si>
  <si>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</si>
  <si>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</si>
  <si>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</si>
  <si>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</si>
  <si>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</si>
  <si>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</si>
  <si>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</si>
  <si>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</si>
  <si>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</si>
  <si>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</si>
  <si>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</si>
  <si>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</si>
  <si>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</si>
  <si>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</si>
  <si>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</si>
  <si>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</si>
  <si>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</si>
  <si>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</si>
  <si>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</si>
  <si>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</si>
  <si>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</si>
  <si>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</si>
  <si>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</si>
  <si>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</si>
  <si>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</si>
  <si>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</si>
  <si>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</si>
  <si>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</si>
  <si>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</si>
  <si>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</si>
  <si>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</si>
  <si>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</si>
  <si>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</si>
  <si>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</si>
  <si>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</si>
  <si>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</si>
  <si>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</si>
  <si>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</si>
  <si>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</si>
  <si>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</si>
  <si>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</si>
  <si>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</si>
  <si>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</si>
  <si>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</si>
  <si>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</si>
  <si>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</si>
  <si>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</si>
  <si>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</si>
  <si>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</si>
  <si>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</si>
  <si>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</si>
  <si>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</si>
  <si>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</si>
  <si>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</si>
  <si>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</si>
  <si>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</si>
  <si>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</si>
  <si>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</si>
  <si>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</si>
  <si>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</si>
  <si>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</si>
  <si>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</si>
  <si>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</si>
  <si>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</si>
  <si>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</si>
  <si>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</si>
  <si>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</si>
  <si>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</si>
  <si>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</si>
  <si>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</si>
  <si>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</si>
  <si>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</si>
  <si>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</si>
  <si>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</si>
  <si>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</si>
  <si>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</si>
  <si>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</si>
  <si>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</si>
  <si>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</si>
  <si>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</si>
  <si>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</si>
  <si>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</si>
  <si>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</si>
  <si>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</si>
  <si>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</si>
  <si>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</si>
  <si>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</si>
  <si>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</si>
  <si>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</si>
  <si>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</si>
  <si>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</si>
  <si>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</si>
  <si>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</si>
  <si>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</si>
  <si>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</si>
  <si>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</si>
  <si>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</si>
  <si>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</si>
  <si>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</si>
  <si>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</si>
  <si>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</si>
  <si>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</si>
  <si>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</si>
  <si>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</si>
  <si>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</si>
  <si>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</si>
  <si>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</si>
  <si>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</si>
  <si>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</si>
  <si>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</si>
  <si>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</si>
  <si>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</si>
  <si>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</si>
  <si>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</si>
  <si>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</si>
  <si>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</si>
  <si>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</si>
  <si>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</si>
  <si>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</si>
  <si>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</si>
  <si>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</si>
  <si>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</si>
  <si>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</si>
  <si>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</si>
  <si>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</si>
  <si>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</si>
  <si>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</si>
  <si>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</si>
  <si>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</si>
  <si>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</si>
  <si>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</si>
  <si>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</si>
  <si>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</si>
  <si>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</si>
  <si>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</si>
  <si>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</si>
  <si>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</si>
  <si>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</si>
  <si>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</si>
  <si>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</si>
  <si>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</si>
  <si>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</si>
  <si>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</si>
  <si>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</si>
  <si>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</si>
  <si>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</si>
  <si>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</si>
  <si>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</si>
  <si>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</si>
  <si>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</si>
  <si>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</si>
  <si>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</si>
  <si>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</si>
  <si>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</si>
  <si>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</si>
  <si>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</si>
  <si>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</si>
  <si>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</si>
  <si>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</si>
  <si>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</si>
  <si>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</si>
  <si>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</si>
  <si>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</si>
  <si>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</si>
  <si>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</si>
  <si>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</si>
  <si>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</si>
  <si>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</si>
  <si>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</si>
  <si>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</si>
  <si>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</si>
  <si>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</si>
  <si>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</si>
  <si>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</si>
  <si>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</si>
  <si>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</si>
  <si>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</si>
  <si>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</si>
  <si>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</si>
  <si>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</si>
  <si>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</si>
  <si>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</si>
  <si>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</si>
  <si>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</si>
  <si>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</si>
  <si>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</si>
  <si>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</si>
  <si>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</si>
  <si>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</si>
  <si>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</si>
  <si>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</si>
  <si>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</si>
  <si>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</si>
  <si>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</si>
  <si>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</si>
  <si>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</si>
  <si>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</si>
  <si>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</si>
  <si>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</si>
  <si>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</si>
  <si>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</si>
  <si>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</si>
  <si>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</si>
  <si>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</si>
  <si>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</si>
  <si>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</si>
  <si>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</si>
  <si>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</si>
  <si>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</si>
  <si>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</si>
  <si>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</si>
  <si>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</si>
  <si>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</si>
  <si>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</si>
  <si>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</si>
  <si>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</si>
  <si>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</si>
  <si>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</si>
  <si>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</si>
  <si>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</si>
  <si>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</si>
  <si>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</si>
  <si>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</si>
  <si>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</si>
  <si>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</si>
  <si>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</si>
  <si>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</si>
  <si>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</si>
  <si>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</si>
  <si>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</si>
  <si>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</si>
  <si>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</si>
  <si>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</si>
  <si>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</si>
  <si>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</si>
  <si>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</si>
  <si>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</si>
  <si>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</si>
  <si>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</si>
  <si>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</si>
  <si>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</si>
  <si>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</si>
  <si>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</si>
  <si>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</si>
  <si>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</si>
  <si>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</si>
  <si>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</si>
  <si>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</si>
  <si>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</si>
  <si>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</si>
  <si>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</si>
  <si>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</si>
  <si>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</si>
  <si>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</si>
  <si>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</si>
  <si>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</si>
  <si>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</si>
  <si>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</si>
  <si>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</si>
  <si>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</si>
  <si>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</si>
  <si>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</si>
  <si>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</si>
  <si>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</si>
  <si>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</si>
  <si>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</si>
  <si>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</si>
  <si>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</si>
  <si>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</si>
  <si>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</si>
  <si>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</si>
  <si>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</si>
  <si>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</si>
  <si>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</si>
  <si>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</si>
  <si>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</si>
  <si>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</si>
  <si>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</si>
  <si>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</si>
  <si>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</si>
  <si>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</si>
  <si>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</si>
  <si>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</si>
  <si>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</si>
  <si>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</si>
  <si>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</si>
  <si>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</si>
  <si>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</si>
  <si>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</si>
  <si>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</si>
  <si>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</si>
  <si>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</si>
  <si>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</si>
  <si>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</si>
  <si>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</si>
  <si>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</si>
  <si>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</si>
  <si>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</si>
  <si>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</si>
  <si>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</si>
  <si>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</si>
  <si>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</si>
  <si>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</si>
  <si>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</si>
  <si>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</si>
  <si>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</si>
  <si>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</si>
  <si>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</si>
  <si>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</si>
  <si>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</si>
  <si>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</si>
  <si>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</si>
  <si>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</si>
  <si>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</si>
  <si>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</si>
  <si>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</si>
  <si>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</si>
  <si>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</si>
  <si>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</si>
  <si>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</si>
  <si>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</si>
  <si>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</si>
  <si>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</si>
  <si>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</si>
  <si>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</si>
  <si>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</si>
  <si>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</si>
  <si>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</si>
  <si>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</si>
  <si>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</si>
  <si>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</si>
  <si>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</si>
  <si>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</si>
  <si>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</si>
  <si>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</si>
  <si>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</si>
  <si>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</si>
  <si>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</si>
  <si>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</si>
  <si>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</si>
  <si>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</si>
  <si>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</si>
  <si>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</si>
  <si>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</si>
  <si>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</si>
  <si>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</si>
  <si>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</si>
  <si>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</si>
  <si>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</si>
  <si>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</si>
  <si>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</si>
  <si>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</si>
  <si>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</si>
  <si>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</si>
  <si>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</si>
  <si>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</si>
  <si>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</si>
  <si>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</si>
  <si>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</si>
  <si>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</si>
  <si>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</si>
  <si>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</si>
  <si>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</si>
  <si>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</si>
  <si>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</si>
  <si>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</si>
  <si>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</si>
  <si>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</si>
  <si>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</si>
  <si>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</si>
  <si>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</si>
  <si>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</si>
  <si>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</si>
  <si>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</si>
  <si>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</si>
  <si>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</si>
  <si>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</si>
  <si>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</si>
  <si>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</si>
  <si>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</si>
  <si>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</si>
  <si>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</si>
  <si>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</si>
  <si>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</si>
  <si>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</si>
  <si>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</si>
  <si>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</si>
  <si>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</si>
  <si>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</si>
  <si>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</si>
  <si>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</si>
  <si>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</si>
  <si>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</si>
  <si>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</si>
  <si>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</si>
  <si>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</si>
  <si>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</si>
  <si>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</si>
  <si>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</si>
  <si>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</si>
  <si>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</si>
  <si>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</si>
  <si>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</si>
  <si>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</si>
  <si>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</si>
  <si>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</si>
  <si>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</si>
  <si>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</si>
  <si>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</si>
  <si>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</si>
  <si>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</si>
  <si>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</si>
  <si>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</si>
  <si>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</si>
  <si>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</si>
  <si>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</si>
  <si>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</si>
  <si>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</si>
  <si>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</si>
  <si>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</si>
  <si>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</si>
  <si>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</si>
  <si>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</si>
  <si>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</si>
  <si>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</si>
  <si>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</si>
  <si>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</si>
  <si>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</si>
  <si>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</si>
  <si>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</si>
  <si>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</si>
  <si>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</si>
  <si>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</si>
  <si>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</si>
  <si>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</si>
  <si>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</si>
  <si>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</si>
  <si>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</si>
  <si>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</si>
  <si>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</si>
  <si>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</si>
  <si>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</si>
  <si>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</si>
  <si>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</si>
  <si>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</si>
  <si>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</si>
  <si>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</si>
  <si>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</si>
  <si>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</si>
  <si>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</si>
  <si>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</si>
  <si>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</si>
  <si>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</si>
  <si>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</si>
  <si>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</si>
  <si>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</si>
  <si>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</si>
  <si>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</si>
  <si>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</si>
  <si>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</si>
  <si>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</si>
  <si>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</si>
  <si>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</si>
  <si>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</si>
  <si>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</si>
  <si>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</si>
  <si>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</si>
  <si>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</si>
  <si>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</si>
  <si>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</si>
  <si>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</si>
  <si>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</si>
  <si>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</si>
  <si>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</si>
  <si>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</si>
  <si>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</si>
  <si>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</si>
  <si>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</si>
  <si>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</si>
  <si>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</si>
  <si>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</si>
  <si>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</si>
  <si>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</si>
  <si>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</si>
  <si>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</si>
  <si>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</si>
  <si>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</si>
  <si>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</si>
  <si>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</si>
  <si>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</si>
  <si>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</si>
  <si>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</si>
  <si>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</si>
  <si>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</si>
  <si>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</si>
  <si>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</si>
  <si>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</si>
  <si>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</si>
  <si>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</si>
  <si>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</si>
  <si>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</si>
  <si>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</si>
  <si>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</si>
  <si>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</si>
  <si>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</si>
  <si>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</si>
  <si>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</si>
  <si>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</si>
  <si>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</si>
  <si>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</si>
  <si>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</si>
  <si>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</si>
  <si>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</si>
  <si>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</si>
  <si>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</si>
  <si>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</si>
  <si>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</si>
  <si>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</si>
  <si>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</si>
  <si>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</si>
  <si>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</si>
  <si>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</si>
  <si>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</si>
  <si>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</si>
  <si>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</si>
  <si>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</si>
  <si>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</si>
  <si>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</si>
  <si>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</si>
  <si>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</si>
  <si>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</si>
  <si>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</si>
  <si>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</si>
  <si>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</si>
  <si>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</si>
  <si>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</si>
  <si>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</si>
  <si>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</si>
  <si>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</si>
  <si>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</si>
  <si>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</si>
  <si>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</si>
  <si>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</si>
  <si>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</si>
  <si>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</si>
  <si>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</si>
  <si>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</si>
  <si>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</si>
  <si>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</si>
  <si>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</si>
  <si>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</si>
  <si>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</si>
  <si>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</si>
  <si>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</si>
  <si>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</si>
  <si>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</si>
  <si>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</si>
  <si>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</si>
  <si>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</si>
  <si>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</si>
  <si>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</si>
  <si>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</si>
  <si>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</si>
  <si>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</si>
  <si>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</si>
  <si>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</si>
  <si>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</si>
  <si>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</si>
  <si>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</si>
  <si>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</si>
  <si>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</si>
  <si>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</si>
  <si>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</si>
  <si>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</si>
  <si>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</si>
  <si>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</si>
  <si>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</si>
  <si>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</si>
  <si>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</si>
  <si>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</si>
  <si>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</si>
  <si>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</si>
  <si>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</si>
  <si>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</si>
  <si>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</si>
  <si>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</si>
  <si>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</si>
  <si>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</si>
  <si>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</si>
  <si>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</si>
  <si>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</si>
  <si>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</si>
  <si>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</si>
  <si>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</si>
  <si>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</si>
  <si>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</si>
  <si>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</si>
  <si>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</si>
  <si>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</si>
  <si>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</si>
  <si>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</si>
  <si>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</si>
  <si>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</si>
  <si>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</si>
  <si>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</si>
  <si>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</si>
  <si>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</si>
  <si>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</si>
  <si>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</si>
  <si>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</si>
  <si>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</si>
  <si>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</si>
  <si>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</si>
  <si>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</si>
  <si>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</si>
  <si>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</si>
  <si>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</si>
  <si>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</si>
  <si>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</si>
  <si>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</si>
  <si>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</si>
  <si>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</si>
  <si>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</si>
  <si>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</si>
  <si>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</si>
  <si>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</si>
  <si>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</si>
  <si>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</si>
  <si>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</si>
  <si>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</si>
  <si>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</si>
  <si>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</si>
  <si>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</si>
  <si>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</si>
  <si>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</si>
  <si>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</si>
  <si>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</si>
  <si>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</si>
  <si>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</si>
  <si>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</si>
  <si>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</si>
  <si>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</si>
  <si>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</si>
  <si>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</si>
  <si>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</si>
  <si>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</si>
  <si>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</si>
  <si>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</si>
  <si>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</si>
  <si>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</si>
  <si>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</si>
  <si>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</si>
  <si>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</si>
  <si>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</si>
  <si>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</si>
  <si>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</si>
  <si>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</si>
  <si>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</si>
  <si>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</si>
  <si>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</si>
  <si>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</si>
  <si>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</si>
  <si>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</si>
  <si>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</si>
  <si>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</si>
  <si>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</si>
  <si>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</si>
  <si>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</si>
  <si>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</si>
  <si>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</si>
  <si>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</si>
  <si>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</si>
  <si>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</si>
  <si>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</si>
  <si>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</si>
  <si>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</si>
  <si>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</si>
  <si>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</si>
  <si>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</si>
  <si>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</si>
  <si>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</si>
  <si>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</si>
  <si>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</si>
  <si>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</si>
  <si>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</si>
  <si>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</si>
  <si>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</si>
  <si>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</si>
  <si>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</si>
  <si>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</si>
  <si>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</si>
  <si>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</si>
  <si>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</si>
  <si>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</si>
  <si>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</si>
  <si>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</si>
  <si>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</si>
  <si>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</si>
  <si>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</si>
  <si>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</si>
  <si>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</si>
  <si>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</si>
  <si>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</si>
  <si>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</si>
  <si>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</si>
  <si>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</si>
  <si>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</si>
  <si>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</si>
  <si>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</si>
  <si>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</si>
  <si>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</si>
  <si>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</si>
  <si>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</si>
  <si>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</si>
  <si>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</si>
  <si>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</si>
  <si>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</si>
  <si>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</si>
  <si>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</si>
  <si>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</si>
  <si>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</si>
  <si>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</si>
  <si>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</si>
  <si>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</si>
  <si>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</si>
  <si>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</si>
  <si>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</si>
  <si>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</si>
  <si>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</si>
  <si>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</si>
  <si>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</si>
  <si>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</si>
  <si>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</si>
  <si>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</si>
  <si>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</si>
  <si>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</si>
  <si>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</si>
  <si>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</si>
  <si>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</si>
  <si>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</si>
  <si>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</si>
  <si>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</si>
  <si>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</si>
  <si>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</si>
  <si>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</si>
  <si>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</si>
  <si>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</si>
  <si>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</si>
  <si>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</si>
  <si>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</si>
  <si>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</si>
  <si>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</si>
  <si>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</si>
  <si>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</si>
  <si>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</si>
  <si>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</si>
  <si>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</si>
  <si>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</si>
  <si>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</si>
  <si>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</si>
  <si>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</si>
  <si>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</si>
  <si>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</si>
  <si>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</si>
  <si>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</si>
  <si>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</si>
  <si>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</si>
  <si>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</si>
  <si>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</si>
  <si>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</si>
  <si>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</si>
  <si>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</si>
  <si>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</si>
  <si>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</si>
  <si>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</si>
  <si>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</si>
  <si>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</si>
  <si>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</si>
  <si>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</si>
  <si>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</si>
  <si>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</si>
  <si>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</si>
  <si>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</si>
  <si>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</si>
  <si>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</si>
  <si>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</si>
  <si>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</si>
  <si>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</si>
  <si>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</si>
  <si>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</si>
  <si>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</si>
  <si>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</si>
  <si>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</si>
  <si>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</si>
  <si>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</si>
  <si>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</si>
  <si>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</si>
  <si>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</si>
  <si>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</si>
  <si>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</si>
  <si>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</si>
  <si>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</si>
  <si>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</si>
  <si>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</si>
  <si>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</si>
  <si>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</si>
  <si>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</si>
  <si>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</si>
  <si>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</si>
  <si>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</si>
  <si>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</si>
  <si>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</si>
  <si>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</si>
  <si>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</si>
  <si>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</si>
  <si>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</si>
  <si>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</si>
  <si>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</si>
  <si>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</si>
  <si>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</si>
  <si>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</si>
  <si>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</si>
  <si>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</si>
  <si>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</si>
  <si>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</si>
  <si>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</si>
  <si>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</si>
  <si>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</si>
  <si>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</si>
  <si>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</si>
  <si>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</si>
  <si>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Elmet Techologies LLC</t>
  </si>
  <si>
    <t>079772-1699</t>
  </si>
  <si>
    <t>DUNS</t>
  </si>
  <si>
    <t>1560 LISBON STREET, LEWISTON, ME 04240</t>
  </si>
  <si>
    <t>Tracy Washburn</t>
  </si>
  <si>
    <t>twashburn@elmettech.com</t>
  </si>
  <si>
    <t>207-333-6256</t>
  </si>
  <si>
    <t>Dan Drinan</t>
  </si>
  <si>
    <t>Director of Quality</t>
  </si>
  <si>
    <t>ddrinan@elmettech.com</t>
  </si>
  <si>
    <t>207-333-6210</t>
  </si>
  <si>
    <t>Pure Tungsten and Tungsten Alloy Products</t>
  </si>
  <si>
    <t>https://www.elmettechnologies.com/about-elmet/customer-resources/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</si>
</sst>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8" fillId="33" borderId="61" xfId="487" applyNumberForma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washburn@elmet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lmettechnologies.com/about-elmet/customer-resources/" TargetMode="External"/><Relationship Id="rId4" Type="http://schemas.openxmlformats.org/officeDocument/2006/relationships/hyperlink" Target="mailto:ddrinan@elmet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33" activePane="bottomRight" state="frozen"/>
      <selection activeCell="A4" sqref="A4"/>
      <selection pane="topRight" activeCell="A4" sqref="A4"/>
      <selection pane="bottomLeft" activeCell="A4" sqref="A4"/>
      <selection pane="bottomRight" activeCell="I10" sqref="I10"/>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869FA95-107D-4798-ADDA-362BFD69F43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0526A66-CF84-40A7-AA19-B04ABC369C9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87" sqref="G87:J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4" t="str">
        <f ca="1">OFFSET(L!$C$1,MATCH("Declaration"&amp;ADDRESS(ROW(),COLUMN(),4),L!$A:$A,0)-1,SL,,)</f>
        <v>Conflict Minerals Reporting Template (CMRT)</v>
      </c>
      <c r="E2" s="405"/>
      <c r="F2" s="405"/>
      <c r="G2" s="405"/>
      <c r="H2" s="405"/>
      <c r="I2" s="405"/>
      <c r="J2" s="40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7"/>
      <c r="G3" s="417"/>
      <c r="H3" s="417"/>
      <c r="I3" s="175"/>
      <c r="J3" s="160" t="s">
        <v>15654</v>
      </c>
      <c r="K3" s="44"/>
      <c r="L3" s="133"/>
      <c r="M3" s="124"/>
      <c r="N3" s="124"/>
      <c r="O3" s="125"/>
      <c r="P3" s="138">
        <f>MATCH($D$3,LN,0)</f>
        <v>1</v>
      </c>
    </row>
    <row r="4" spans="1:34" ht="15.75">
      <c r="A4" s="42"/>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2" t="str">
        <f ca="1">OFFSET(L!$C$1,MATCH("Declaration"&amp;ADDRESS(ROW(),COLUMN(),4),L!$A:$A,0)-1,SL,,)</f>
        <v>Company Information</v>
      </c>
      <c r="C7" s="422"/>
      <c r="D7" s="422"/>
      <c r="E7" s="422"/>
      <c r="F7" s="422"/>
      <c r="G7" s="422"/>
      <c r="H7" s="422"/>
      <c r="I7" s="422"/>
      <c r="J7" s="422"/>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7" t="s">
        <v>15655</v>
      </c>
      <c r="E8" s="408"/>
      <c r="F8" s="408"/>
      <c r="G8" s="408"/>
      <c r="H8" s="408"/>
      <c r="I8" s="408"/>
      <c r="J8" s="409"/>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19" t="s">
        <v>496</v>
      </c>
      <c r="E9" s="420"/>
      <c r="F9" s="420"/>
      <c r="G9" s="42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3" t="str">
        <f ca="1">OFFSET(L!$C$1,MATCH("Declaration"&amp;ADDRESS(ROW(),COLUMN(),4)&amp;LEFT($D$9,1),L!$A:$A,0)-1,SL,,)</f>
        <v>Description of Scope: (*)</v>
      </c>
      <c r="C10" s="144"/>
      <c r="D10" s="414" t="s">
        <v>15666</v>
      </c>
      <c r="E10" s="415"/>
      <c r="F10" s="415"/>
      <c r="G10" s="415"/>
      <c r="H10" s="415"/>
      <c r="I10" s="415"/>
      <c r="J10" s="41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4"/>
      <c r="C11" s="144"/>
      <c r="D11" s="427" t="str">
        <f ca="1">IF(D9=Q9,OFFSET(L!$C$1,MATCH("Declaration"&amp;ADDRESS(ROW(),COLUMN(),4),L!$A:$A,0)-1,SL,,),"")</f>
        <v/>
      </c>
      <c r="E11" s="428"/>
      <c r="F11" s="428"/>
      <c r="G11" s="428"/>
      <c r="H11" s="428"/>
      <c r="I11" s="428"/>
      <c r="J11" s="42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0" t="s">
        <v>15656</v>
      </c>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0" t="s">
        <v>15657</v>
      </c>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0" t="s">
        <v>15658</v>
      </c>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0" t="s">
        <v>15659</v>
      </c>
      <c r="E15" s="411"/>
      <c r="F15" s="411"/>
      <c r="G15" s="411"/>
      <c r="H15" s="411"/>
      <c r="I15" s="411"/>
      <c r="J15" s="41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53" t="s">
        <v>15660</v>
      </c>
      <c r="E16" s="411"/>
      <c r="F16" s="411"/>
      <c r="G16" s="411"/>
      <c r="H16" s="411"/>
      <c r="I16" s="411"/>
      <c r="J16" s="41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0" t="s">
        <v>15661</v>
      </c>
      <c r="E17" s="411"/>
      <c r="F17" s="411"/>
      <c r="G17" s="411"/>
      <c r="H17" s="411"/>
      <c r="I17" s="411"/>
      <c r="J17" s="41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0" t="s">
        <v>15662</v>
      </c>
      <c r="E18" s="411"/>
      <c r="F18" s="411"/>
      <c r="G18" s="411"/>
      <c r="H18" s="411"/>
      <c r="I18" s="411"/>
      <c r="J18" s="412"/>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0" t="s">
        <v>15663</v>
      </c>
      <c r="E19" s="411"/>
      <c r="F19" s="411"/>
      <c r="G19" s="411"/>
      <c r="H19" s="411"/>
      <c r="I19" s="411"/>
      <c r="J19" s="41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53" t="s">
        <v>15664</v>
      </c>
      <c r="E20" s="411"/>
      <c r="F20" s="411"/>
      <c r="G20" s="411"/>
      <c r="H20" s="411"/>
      <c r="I20" s="411"/>
      <c r="J20" s="41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10" t="s">
        <v>15665</v>
      </c>
      <c r="E21" s="411"/>
      <c r="F21" s="411"/>
      <c r="G21" s="411"/>
      <c r="H21" s="411"/>
      <c r="I21" s="411"/>
      <c r="J21" s="412"/>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88">
        <v>44692</v>
      </c>
      <c r="E22" s="38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2"/>
      <c r="E23" s="432"/>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0" t="str">
        <f ca="1">OFFSET(L!$C$1,MATCH("Declaration"&amp;ADDRESS(ROW(),COLUMN(),4),L!$A:$A,0)-1,SL,,)</f>
        <v>Answer the following questions 1 - 8 based on the declaration scope indicated above</v>
      </c>
      <c r="C24" s="390"/>
      <c r="D24" s="390"/>
      <c r="E24" s="390"/>
      <c r="F24" s="390"/>
      <c r="G24" s="390"/>
      <c r="H24" s="390"/>
      <c r="I24" s="390"/>
      <c r="J24" s="39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6" t="s">
        <v>489</v>
      </c>
      <c r="E26" s="387"/>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6" t="s">
        <v>489</v>
      </c>
      <c r="E27" s="387"/>
      <c r="F27" s="15"/>
      <c r="G27" s="394"/>
      <c r="H27" s="395"/>
      <c r="I27" s="395"/>
      <c r="J27" s="396"/>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6" t="s">
        <v>489</v>
      </c>
      <c r="E28" s="387"/>
      <c r="F28" s="15"/>
      <c r="G28" s="394"/>
      <c r="H28" s="395"/>
      <c r="I28" s="395"/>
      <c r="J28" s="396"/>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6" t="s">
        <v>488</v>
      </c>
      <c r="E29" s="387"/>
      <c r="F29" s="15"/>
      <c r="G29" s="394"/>
      <c r="H29" s="395"/>
      <c r="I29" s="395"/>
      <c r="J29" s="396"/>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1" t="str">
        <f ca="1">D25</f>
        <v>Answer</v>
      </c>
      <c r="E31" s="391"/>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2"/>
      <c r="E32" s="393"/>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6"/>
      <c r="E33" s="387"/>
      <c r="F33" s="55"/>
      <c r="G33" s="394"/>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6"/>
      <c r="E34" s="387"/>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6" t="s">
        <v>488</v>
      </c>
      <c r="E35" s="387"/>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1" t="str">
        <f ca="1">D25</f>
        <v>Answer</v>
      </c>
      <c r="E37" s="391"/>
      <c r="F37" s="21"/>
      <c r="G37" s="52" t="str">
        <f ca="1">G25</f>
        <v>Comments</v>
      </c>
      <c r="H37" s="431"/>
      <c r="I37" s="431"/>
      <c r="J37" s="431"/>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6"/>
      <c r="E38" s="387"/>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6"/>
      <c r="E39" s="387"/>
      <c r="F39" s="55"/>
      <c r="G39" s="394"/>
      <c r="H39" s="395"/>
      <c r="I39" s="395"/>
      <c r="J39" s="396"/>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6"/>
      <c r="E40" s="387"/>
      <c r="F40" s="55"/>
      <c r="G40" s="394"/>
      <c r="H40" s="395"/>
      <c r="I40" s="395"/>
      <c r="J40" s="396"/>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6" t="s">
        <v>489</v>
      </c>
      <c r="E41" s="387"/>
      <c r="F41" s="55"/>
      <c r="G41" s="394"/>
      <c r="H41" s="395"/>
      <c r="I41" s="395"/>
      <c r="J41" s="396"/>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1" t="str">
        <f ca="1">D25</f>
        <v>Answer</v>
      </c>
      <c r="E43" s="391"/>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c r="E44" s="387"/>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6"/>
      <c r="E45" s="387"/>
      <c r="F45" s="55"/>
      <c r="G45" s="394"/>
      <c r="H45" s="395"/>
      <c r="I45" s="395"/>
      <c r="J45" s="396"/>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6"/>
      <c r="E46" s="387"/>
      <c r="F46" s="55"/>
      <c r="G46" s="394"/>
      <c r="H46" s="395"/>
      <c r="I46" s="395"/>
      <c r="J46" s="396"/>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6" t="s">
        <v>489</v>
      </c>
      <c r="E47" s="387"/>
      <c r="F47" s="55"/>
      <c r="G47" s="394"/>
      <c r="H47" s="395"/>
      <c r="I47" s="395"/>
      <c r="J47" s="396"/>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6"/>
      <c r="E50" s="387"/>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6"/>
      <c r="E51" s="387"/>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6"/>
      <c r="E52" s="387"/>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6" t="s">
        <v>489</v>
      </c>
      <c r="E53" s="387"/>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1" t="str">
        <f ca="1">D25</f>
        <v>Answer</v>
      </c>
      <c r="E55" s="39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5"/>
      <c r="E56" s="426"/>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25"/>
      <c r="E57" s="426"/>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25"/>
      <c r="E58" s="426"/>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25">
        <v>1</v>
      </c>
      <c r="E59" s="426"/>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1" t="str">
        <f ca="1">D25</f>
        <v>Answer</v>
      </c>
      <c r="E61" s="391"/>
      <c r="F61" s="21"/>
      <c r="G61" s="52" t="str">
        <f ca="1">G25</f>
        <v>Comments</v>
      </c>
      <c r="H61" s="430"/>
      <c r="I61" s="430"/>
      <c r="J61" s="43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2"/>
      <c r="E62" s="393"/>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6"/>
      <c r="E63" s="387"/>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6"/>
      <c r="E64" s="387"/>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6" t="s">
        <v>488</v>
      </c>
      <c r="E65" s="387"/>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1" t="str">
        <f ca="1">D25</f>
        <v>Answer</v>
      </c>
      <c r="E67" s="391"/>
      <c r="F67" s="21"/>
      <c r="G67" s="52" t="str">
        <f ca="1">G25</f>
        <v>Comments</v>
      </c>
      <c r="H67" s="430" t="str">
        <f>IF(Q75="(*)","Click here to enter smelter names","")</f>
        <v/>
      </c>
      <c r="I67" s="430"/>
      <c r="J67" s="43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6"/>
      <c r="E68" s="387"/>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6"/>
      <c r="E69" s="387"/>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6"/>
      <c r="E70" s="387"/>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6" t="s">
        <v>488</v>
      </c>
      <c r="E71" s="387"/>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0" t="str">
        <f ca="1">OFFSET(L!$C$1,MATCH("Declaration"&amp;ADDRESS(ROW(),COLUMN(),4),L!$A:$A,0)-1,SL,,)</f>
        <v>Answer the Following Questions at a Company Level</v>
      </c>
      <c r="C73" s="440"/>
      <c r="D73" s="440"/>
      <c r="E73" s="440"/>
      <c r="F73" s="440"/>
      <c r="G73" s="440"/>
      <c r="H73" s="440"/>
      <c r="I73" s="440"/>
      <c r="J73" s="44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6" t="s">
        <v>488</v>
      </c>
      <c r="E75" s="387"/>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38"/>
      <c r="H76" s="438"/>
      <c r="I76" s="438"/>
      <c r="J76" s="43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6" t="s">
        <v>488</v>
      </c>
      <c r="E77" s="387"/>
      <c r="F77" s="65"/>
      <c r="G77" s="398" t="s">
        <v>15667</v>
      </c>
      <c r="H77" s="399"/>
      <c r="I77" s="399"/>
      <c r="J77" s="40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6" t="s">
        <v>488</v>
      </c>
      <c r="E79" s="387"/>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6" t="s">
        <v>488</v>
      </c>
      <c r="E81" s="387"/>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6" t="s">
        <v>15082</v>
      </c>
      <c r="E83" s="387"/>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6" t="s">
        <v>488</v>
      </c>
      <c r="E85" s="437"/>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38"/>
      <c r="H86" s="438"/>
      <c r="I86" s="438"/>
      <c r="J86" s="43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6" t="s">
        <v>488</v>
      </c>
      <c r="E87" s="387"/>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39"/>
      <c r="H88" s="439"/>
      <c r="I88" s="439"/>
      <c r="J88" s="43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6" t="s">
        <v>489</v>
      </c>
      <c r="E89" s="387"/>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5" t="str">
        <f>IF(OR($D$8="",$I$3=""),"","Click here to check required fields completion")</f>
        <v/>
      </c>
      <c r="C90" s="435"/>
      <c r="D90" s="435"/>
      <c r="E90" s="435"/>
      <c r="F90" s="435"/>
      <c r="G90" s="435"/>
      <c r="H90" s="435"/>
      <c r="I90" s="435"/>
      <c r="J90" s="435"/>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3" t="str">
        <f ca="1">OFFSET(L!$C$1,MATCH("General"&amp;"Cpy",L!$A:$A,0)-1,SL,,)</f>
        <v>© 2022 Responsible Minerals Initiative. All rights reserved.</v>
      </c>
      <c r="B91" s="434"/>
      <c r="C91" s="434"/>
      <c r="D91" s="434"/>
      <c r="E91" s="434"/>
      <c r="F91" s="434"/>
      <c r="G91" s="434"/>
      <c r="H91" s="434"/>
      <c r="I91" s="434"/>
      <c r="J91" s="434"/>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0" priority="70" stopIfTrue="1">
      <formula>AND(OR($D$26="No",AND($D$26="Yes",$D$32="No")),OR($D$27="No",AND($D$27="Yes",$D$33="No")),OR($D$28="No",AND($D$28="Yes",$D$34="No")),OR($D$29="No",AND($D$29="Yes",$D$35="No")))</formula>
    </cfRule>
    <cfRule type="expression" dxfId="89" priority="71" stopIfTrue="1">
      <formula>IF(D75="",TRUE)</formula>
    </cfRule>
  </conditionalFormatting>
  <conditionalFormatting sqref="G77:J77">
    <cfRule type="expression" dxfId="88" priority="42" stopIfTrue="1">
      <formula>IF(AND($D$77="Yes",$G$77=""),TRUE)</formula>
    </cfRule>
  </conditionalFormatting>
  <conditionalFormatting sqref="D26:E26">
    <cfRule type="expression" dxfId="87" priority="122" stopIfTrue="1">
      <formula>IF($D$26="",TRUE)</formula>
    </cfRule>
  </conditionalFormatting>
  <conditionalFormatting sqref="D27:E27">
    <cfRule type="expression" dxfId="86" priority="129" stopIfTrue="1">
      <formula>IF($D$27="",TRUE)</formula>
    </cfRule>
  </conditionalFormatting>
  <conditionalFormatting sqref="D28:E28">
    <cfRule type="expression" dxfId="85" priority="130" stopIfTrue="1">
      <formula>IF($D$28="",TRUE)</formula>
    </cfRule>
  </conditionalFormatting>
  <conditionalFormatting sqref="D29:E29">
    <cfRule type="expression" dxfId="84" priority="131" stopIfTrue="1">
      <formula>IF($D$29="",TRUE)</formula>
    </cfRule>
  </conditionalFormatting>
  <conditionalFormatting sqref="D9:G9">
    <cfRule type="expression" dxfId="82" priority="137" stopIfTrue="1">
      <formula>IF($D$9="",TRUE)</formula>
    </cfRule>
  </conditionalFormatting>
  <conditionalFormatting sqref="D22:E22">
    <cfRule type="expression" dxfId="78" priority="144" stopIfTrue="1">
      <formula>IF($D$22="",TRUE)</formula>
    </cfRule>
  </conditionalFormatting>
  <conditionalFormatting sqref="D10:J10">
    <cfRule type="expression" dxfId="77" priority="41" stopIfTrue="1">
      <formula>IF($D$9=$Q$9,TRUE)</formula>
    </cfRule>
    <cfRule type="expression" dxfId="76" priority="151" stopIfTrue="1">
      <formula>IF(AND($D$10="",$D$9=$R$9),TRUE)</formula>
    </cfRule>
  </conditionalFormatting>
  <conditionalFormatting sqref="D34:E34 D40:E40 D52:E52 D58:E58 D64:E64 D70:E70">
    <cfRule type="expression" dxfId="75" priority="34" stopIfTrue="1">
      <formula>$P$28=""</formula>
    </cfRule>
  </conditionalFormatting>
  <conditionalFormatting sqref="D35:E35 D41:E41 D53:E53 D59:E59 D65:E65 D71:E71">
    <cfRule type="expression" dxfId="74" priority="149" stopIfTrue="1">
      <formula>$P$29=""</formula>
    </cfRule>
  </conditionalFormatting>
  <conditionalFormatting sqref="D32:E32">
    <cfRule type="expression" dxfId="73" priority="127" stopIfTrue="1">
      <formula>$P$26=""</formula>
    </cfRule>
  </conditionalFormatting>
  <conditionalFormatting sqref="D32:E32">
    <cfRule type="expression" dxfId="72" priority="40" stopIfTrue="1">
      <formula>IF(AND(OR($D$26="Yes",$D$26=""),$D$32=""),1,0)</formula>
    </cfRule>
  </conditionalFormatting>
  <conditionalFormatting sqref="D38 D50 D56 D62 D68">
    <cfRule type="expression" dxfId="71" priority="36" stopIfTrue="1">
      <formula>$P$32=""</formula>
    </cfRule>
  </conditionalFormatting>
  <conditionalFormatting sqref="D39:E39 D51 D57 D63 D69">
    <cfRule type="expression" dxfId="70" priority="35" stopIfTrue="1">
      <formula>$P$33=""</formula>
    </cfRule>
  </conditionalFormatting>
  <conditionalFormatting sqref="D40 D52 D58 D64 D70">
    <cfRule type="expression" dxfId="69" priority="25" stopIfTrue="1">
      <formula>$P$34=""</formula>
    </cfRule>
    <cfRule type="expression" dxfId="68" priority="147" stopIfTrue="1">
      <formula>IF(AND(OR($D$28="Yes",$D$28=""),D40=""),1,0)</formula>
    </cfRule>
  </conditionalFormatting>
  <conditionalFormatting sqref="D41 D53 D59 D65 D71">
    <cfRule type="expression" dxfId="67" priority="33" stopIfTrue="1">
      <formula>$P$35=""</formula>
    </cfRule>
  </conditionalFormatting>
  <conditionalFormatting sqref="D38:E38 D50:E50 D56:E56 D62:E62 D68:E68">
    <cfRule type="expression" dxfId="66" priority="38" stopIfTrue="1">
      <formula>$P$26=""</formula>
    </cfRule>
    <cfRule type="expression" dxfId="65" priority="39" stopIfTrue="1">
      <formula>IF(AND(OR($D$26="Yes",$D$26=""),D38=""),1,0)</formula>
    </cfRule>
  </conditionalFormatting>
  <conditionalFormatting sqref="G85:J85">
    <cfRule type="expression" dxfId="64" priority="32" stopIfTrue="1">
      <formula>IF(AND($D$85="Yes, using other format (describe)",$G$85=""),TRUE)</formula>
    </cfRule>
  </conditionalFormatting>
  <conditionalFormatting sqref="D39:E39 D51:E51 D57:E57 D63:E63 D69:E69">
    <cfRule type="expression" dxfId="63" priority="145" stopIfTrue="1">
      <formula>$P$39=""</formula>
    </cfRule>
    <cfRule type="expression" dxfId="62" priority="146" stopIfTrue="1">
      <formula>IF(AND(OR($D$27="Yes",$D$27=""),D39=""),1,0)</formula>
    </cfRule>
  </conditionalFormatting>
  <conditionalFormatting sqref="D33:E33">
    <cfRule type="expression" dxfId="61" priority="27" stopIfTrue="1">
      <formula>IF(AND(OR($D$27="Yes",$D$27=""),$D$33=""),1,0)</formula>
    </cfRule>
    <cfRule type="expression" dxfId="60" priority="28" stopIfTrue="1">
      <formula>$P$27=""</formula>
    </cfRule>
  </conditionalFormatting>
  <conditionalFormatting sqref="D34:E34">
    <cfRule type="expression" dxfId="59" priority="148" stopIfTrue="1">
      <formula>IF(AND(OR($D$28="Yes",$D$28=""),$D$34=""),1,0)</formula>
    </cfRule>
  </conditionalFormatting>
  <conditionalFormatting sqref="D41:E41 D53:E53 D59:E59 D65:E65 D71:E71">
    <cfRule type="expression" dxfId="58" priority="150" stopIfTrue="1">
      <formula>IF(AND(OR($D$29="Yes",$D$29=""),D41=""),1,0)</formula>
    </cfRule>
  </conditionalFormatting>
  <conditionalFormatting sqref="D35:E35">
    <cfRule type="expression" dxfId="57" priority="24" stopIfTrue="1">
      <formula>IF(AND(OR($D$29="Yes",$D$29=""),$D$35=""),1,0)</formula>
    </cfRule>
  </conditionalFormatting>
  <conditionalFormatting sqref="D46:E46">
    <cfRule type="expression" dxfId="55" priority="10" stopIfTrue="1">
      <formula>$P$28=""</formula>
    </cfRule>
  </conditionalFormatting>
  <conditionalFormatting sqref="D47:E47">
    <cfRule type="expression" dxfId="54" priority="18" stopIfTrue="1">
      <formula>$P$29=""</formula>
    </cfRule>
  </conditionalFormatting>
  <conditionalFormatting sqref="D44">
    <cfRule type="expression" dxfId="53" priority="12" stopIfTrue="1">
      <formula>$P$32=""</formula>
    </cfRule>
  </conditionalFormatting>
  <conditionalFormatting sqref="D45">
    <cfRule type="expression" dxfId="52" priority="11" stopIfTrue="1">
      <formula>$P$33=""</formula>
    </cfRule>
  </conditionalFormatting>
  <conditionalFormatting sqref="D46">
    <cfRule type="expression" dxfId="51" priority="8" stopIfTrue="1">
      <formula>$P$34=""</formula>
    </cfRule>
    <cfRule type="expression" dxfId="50" priority="17" stopIfTrue="1">
      <formula>IF(AND(OR($D$28="Yes",$D$28=""),D46=""),1,0)</formula>
    </cfRule>
  </conditionalFormatting>
  <conditionalFormatting sqref="D47">
    <cfRule type="expression" dxfId="49" priority="9" stopIfTrue="1">
      <formula>$P$35=""</formula>
    </cfRule>
  </conditionalFormatting>
  <conditionalFormatting sqref="D44:E44">
    <cfRule type="expression" dxfId="48" priority="13" stopIfTrue="1">
      <formula>$P$26=""</formula>
    </cfRule>
    <cfRule type="expression" dxfId="47" priority="14" stopIfTrue="1">
      <formula>IF(AND(OR($D$26="Yes",$D$26=""),D44=""),1,0)</formula>
    </cfRule>
  </conditionalFormatting>
  <conditionalFormatting sqref="D45:E45">
    <cfRule type="expression" dxfId="46" priority="15" stopIfTrue="1">
      <formula>$P$39=""</formula>
    </cfRule>
    <cfRule type="expression" dxfId="45" priority="16" stopIfTrue="1">
      <formula>IF(AND(OR($D$27="Yes",$D$27=""),D45=""),1,0)</formula>
    </cfRule>
  </conditionalFormatting>
  <conditionalFormatting sqref="D47:E47">
    <cfRule type="expression" dxfId="44" priority="19" stopIfTrue="1">
      <formula>IF(AND(OR($D$29="Yes",$D$29=""),D47=""),1,0)</formula>
    </cfRule>
  </conditionalFormatting>
  <conditionalFormatting sqref="D8:J8">
    <cfRule type="expression" dxfId="5" priority="6" stopIfTrue="1">
      <formula>IF($D$8="",TRUE)</formula>
    </cfRule>
  </conditionalFormatting>
  <conditionalFormatting sqref="D15:J15">
    <cfRule type="expression" dxfId="4" priority="2" stopIfTrue="1">
      <formula>IF($D$15="",TRUE)</formula>
    </cfRule>
  </conditionalFormatting>
  <conditionalFormatting sqref="D16:J16">
    <cfRule type="expression" dxfId="3" priority="3" stopIfTrue="1">
      <formula>IF($D$16="",TRUE)</formula>
    </cfRule>
  </conditionalFormatting>
  <conditionalFormatting sqref="D17:J17">
    <cfRule type="expression" dxfId="2" priority="4" stopIfTrue="1">
      <formula>IF($D$17="",TRUE)</formula>
    </cfRule>
  </conditionalFormatting>
  <conditionalFormatting sqref="D18:J18">
    <cfRule type="expression" dxfId="1" priority="5" stopIfTrue="1">
      <formula>IF($D$18="",TRUE)</formula>
    </cfRule>
  </conditionalFormatting>
  <conditionalFormatting sqref="D20:J20">
    <cfRule type="expression" dxfId="0"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422C920-F4E9-4288-ABAD-62ACA1DD2279}"/>
    <hyperlink ref="D20" r:id="rId4" xr:uid="{3DD6CE42-721F-4DEF-9BA8-EDEFD62C78B1}"/>
    <hyperlink ref="G77" r:id="rId5" xr:uid="{7B48F9F1-02B8-4AFB-83FB-E7FA373475C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E10" sqref="E10"/>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1" t="str">
        <f ca="1">OFFSET(L!$C$1,MATCH("Smelter List"&amp;ADDRESS(ROW(),COLUMN(),4),L!$A:$A,0)-1,SL,,)</f>
        <v>Link to "RMAP Conformant Smelter List"</v>
      </c>
      <c r="K2" s="442"/>
      <c r="L2" s="442"/>
      <c r="M2" s="442"/>
      <c r="N2" s="442"/>
      <c r="O2" s="442"/>
      <c r="P2" s="224"/>
      <c r="Q2" s="225"/>
      <c r="R2" s="226"/>
      <c r="S2" s="226"/>
      <c r="T2" s="226"/>
      <c r="U2" s="254"/>
      <c r="V2" s="254"/>
      <c r="W2" s="255"/>
      <c r="X2" s="254"/>
      <c r="Y2" s="254"/>
      <c r="Z2" s="254"/>
      <c r="AH2" s="167" t="s">
        <v>488</v>
      </c>
    </row>
    <row r="3" spans="1:34" s="256" customFormat="1" ht="173.45" customHeight="1">
      <c r="A3" s="195"/>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57"/>
      <c r="G3" s="444" t="str">
        <f ca="1">OFFSET(L!$C$1,MATCH("General"&amp;"Cpy",L!$A:$A,0)-1,SL,,)</f>
        <v>© 2022 Responsible Minerals Initiative. All rights reserved.</v>
      </c>
      <c r="H3" s="444"/>
      <c r="I3" s="44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36.75" customHeight="1">
      <c r="A5" s="316" t="s">
        <v>796</v>
      </c>
      <c r="B5" s="208" t="str">
        <f ca="1">IF(LEN(A5)=0,"",INDEX('Smelter Look-up'!$A:$A,MATCH($A5,'Smelter Look-up'!$E:$E,0)))</f>
        <v>Tungsten</v>
      </c>
      <c r="C5" s="212" t="str">
        <f ca="1">IF(LEN(A5)=0,"",INDEX('Smelter Look-up'!$C:$C,MATCH($A5,'Smelter Look-up'!$E:$E,0)))</f>
        <v>Global Tungsten &amp; Powders Corp.</v>
      </c>
      <c r="D5" s="270"/>
      <c r="E5" s="208" t="str">
        <f ca="1">IF(ISERROR($V5),"",OFFSET('Smelter Look-up'!$D$4,$V5-4,0)&amp;"")</f>
        <v>UNITED STATES OF AMERICA</v>
      </c>
      <c r="F5" s="208" t="str">
        <f ca="1">IF(ISERROR($V5),"",OFFSET('Smelter Look-up'!$E$4,$V5-4,0))</f>
        <v>CID000568</v>
      </c>
      <c r="G5" s="208" t="str">
        <f ca="1">IF(C5=$X$4,IF(ISERROR($V5),"Enter smelter details","RMI"),IF(ISERROR($V5),"",OFFSET('Smelter Look-up'!$F$4,$V5-4,0)))</f>
        <v>RMI</v>
      </c>
      <c r="H5" s="209">
        <f ca="1">IF(ISERROR($V5),"",OFFSET('Smelter Look-up'!$G$4,$V5-4,0))</f>
        <v>0</v>
      </c>
      <c r="I5" s="210" t="str">
        <f ca="1">IF(ISERROR($V5),"",OFFSET('Smelter Look-up'!$H$4,$V5-4,0))</f>
        <v>Towanda</v>
      </c>
      <c r="J5" s="210" t="str">
        <f ca="1">IF(ISERROR($V5),"",OFFSET('Smelter Look-up'!$I$4,$V5-4,0))</f>
        <v>Pennsylvania</v>
      </c>
      <c r="K5" s="260"/>
      <c r="L5" s="260"/>
      <c r="M5" s="260"/>
      <c r="N5" s="260"/>
      <c r="O5" s="260"/>
      <c r="P5" s="211"/>
      <c r="Q5" s="261"/>
      <c r="R5" s="208" t="str">
        <f ca="1">IF(ISERROR($V5),"",OFFSET('Smelter Look-up'!$C$4,$V5-4,0)&amp;"")</f>
        <v>Global Tungsten &amp; Powders Corp.</v>
      </c>
      <c r="S5" s="215" t="str">
        <f t="shared" ref="S5" ca="1" si="0">IF(B5="","",IF(ISERROR(MATCH($E5,CL,0)),"Unknown",INDIRECT("'C'!$A$"&amp;MATCH($E5,CL,0)+1)))</f>
        <v>US</v>
      </c>
      <c r="T5" s="215" t="str">
        <f ca="1">IF(B5="","",IF(ISERROR(MATCH($J5,SorP!$B$1:$B$6230,0)),"",INDIRECT("'SorP'!$A$"&amp;MATCH($J5,SorP!$B$1:$B$6230,0))))</f>
        <v>US-PA</v>
      </c>
      <c r="U5" s="231"/>
      <c r="V5" s="262">
        <f ca="1">IF(C5="",NA(),IF(OR(C5="Smelter not listed",C5="Smelter not yet identified"),MATCH($B5&amp;$D5,'Smelter Look-up'!$J:$J,0),MATCH($B5&amp;$C5,'Smelter Look-up'!$J:$J,0)))</f>
        <v>580</v>
      </c>
      <c r="W5" s="263"/>
      <c r="X5" s="263">
        <f t="shared" ref="X5" ca="1" si="1">IF(AND(C5="Smelter not listed",OR(LEN(D5)=0,LEN(E5)=0)),1,0)</f>
        <v>0</v>
      </c>
      <c r="Y5" s="263"/>
      <c r="Z5" s="263"/>
      <c r="AB5" s="265" t="str">
        <f t="shared" ref="AB5" ca="1" si="2">B5&amp;C5</f>
        <v>TungstenGlobal Tungsten &amp; Powders Corp.</v>
      </c>
    </row>
    <row r="6" spans="1:34" s="264" customFormat="1" ht="36.75" customHeight="1">
      <c r="A6" s="207" t="s">
        <v>1432</v>
      </c>
      <c r="B6" s="208" t="str">
        <f ca="1">IF(LEN(A6)=0,"",INDEX('Smelter Look-up'!$A:$A,MATCH($A6,'Smelter Look-up'!$E:$E,0)))</f>
        <v>Tungsten</v>
      </c>
      <c r="C6" s="212" t="str">
        <f ca="1">IF(LEN(A6)=0,"",INDEX('Smelter Look-up'!$C:$C,MATCH($A6,'Smelter Look-up'!$E:$E,0)))</f>
        <v>Masan High-Tech Materials</v>
      </c>
      <c r="D6" s="270"/>
      <c r="E6" s="208" t="str">
        <f ca="1">IF(ISERROR($V6),"",OFFSET('Smelter Look-up'!$D$4,$V6-4,0)&amp;"")</f>
        <v>VIET NAM</v>
      </c>
      <c r="F6" s="208" t="str">
        <f ca="1">IF(ISERROR($V6),"",OFFSET('Smelter Look-up'!$E$4,$V6-4,0))</f>
        <v>CID002543</v>
      </c>
      <c r="G6" s="208" t="str">
        <f ca="1">IF(C6=$X$4,IF(ISERROR($V6),"Enter smelter details","RMI"),IF(ISERROR($V6),"",OFFSET('Smelter Look-up'!$F$4,$V6-4,0)))</f>
        <v>RMI</v>
      </c>
      <c r="H6" s="209">
        <f ca="1">IF(ISERROR($V6),"",OFFSET('Smelter Look-up'!$G$4,$V6-4,0))</f>
        <v>0</v>
      </c>
      <c r="I6" s="210" t="str">
        <f ca="1">IF(ISERROR($V6),"",OFFSET('Smelter Look-up'!$H$4,$V6-4,0))</f>
        <v>Dai Tu</v>
      </c>
      <c r="J6" s="210" t="str">
        <f ca="1">IF(ISERROR($V6),"",OFFSET('Smelter Look-up'!$I$4,$V6-4,0))</f>
        <v>Thái Nguyên</v>
      </c>
      <c r="K6" s="260"/>
      <c r="L6" s="260"/>
      <c r="M6" s="260"/>
      <c r="N6" s="260"/>
      <c r="O6" s="260"/>
      <c r="P6" s="211"/>
      <c r="Q6" s="261"/>
      <c r="R6" s="208" t="str">
        <f ca="1">IF(ISERROR($V6),"",OFFSET('Smelter Look-up'!$C$4,$V6-4,0)&amp;"")</f>
        <v>Masan High-Tech Materials</v>
      </c>
      <c r="S6" s="215" t="str">
        <f t="shared" ref="S6:S37" ca="1" si="3">IF(B6="","",IF(ISERROR(MATCH($E6,CL,0)),"Unknown",INDIRECT("'C'!$A$"&amp;MATCH($E6,CL,0)+1)))</f>
        <v>VN</v>
      </c>
      <c r="T6" s="215" t="str">
        <f ca="1">IF(B6="","",IF(ISERROR(MATCH($J6,SorP!$B$1:$B$6230,0)),"",INDIRECT("'SorP'!$A$"&amp;MATCH($J6,SorP!$B$1:$B$6230,0))))</f>
        <v>VN-69</v>
      </c>
      <c r="U6" s="231"/>
      <c r="V6" s="262">
        <f ca="1">IF(C6="",NA(),IF(OR(C6="Smelter not listed",C6="Smelter not yet identified"),MATCH($B6&amp;$D6,'Smelter Look-up'!$J:$J,0),MATCH($B6&amp;$C6,'Smelter Look-up'!$J:$J,0)))</f>
        <v>609</v>
      </c>
      <c r="W6" s="263"/>
      <c r="X6" s="263">
        <f t="shared" ref="X6:X37" ca="1" si="4">IF(AND(C6="Smelter not listed",OR(LEN(D6)=0,LEN(E6)=0)),1,0)</f>
        <v>0</v>
      </c>
      <c r="Y6" s="263"/>
      <c r="Z6" s="263"/>
      <c r="AB6" s="265" t="str">
        <f t="shared" ref="AB6:AB37" ca="1" si="5">B6&amp;C6</f>
        <v>TungstenMasan High-Tech Materials</v>
      </c>
    </row>
    <row r="7" spans="1:34" s="264" customFormat="1" ht="36.75" customHeight="1">
      <c r="A7" s="207" t="s">
        <v>1855</v>
      </c>
      <c r="B7" s="208" t="str">
        <f ca="1">IF(LEN(A7)=0,"",INDEX('Smelter Look-up'!$A:$A,MATCH($A7,'Smelter Look-up'!$E:$E,0)))</f>
        <v>Tungsten</v>
      </c>
      <c r="C7" s="212" t="str">
        <f ca="1">IF(LEN(A7)=0,"",INDEX('Smelter Look-up'!$C:$C,MATCH($A7,'Smelter Look-up'!$E:$E,0)))</f>
        <v>Niagara Refining LLC</v>
      </c>
      <c r="D7" s="270"/>
      <c r="E7" s="208" t="str">
        <f ca="1">IF(ISERROR($V7),"",OFFSET('Smelter Look-up'!$D$4,$V7-4,0)&amp;"")</f>
        <v>UNITED STATES OF AMERICA</v>
      </c>
      <c r="F7" s="208" t="str">
        <f ca="1">IF(ISERROR($V7),"",OFFSET('Smelter Look-up'!$E$4,$V7-4,0))</f>
        <v>CID002589</v>
      </c>
      <c r="G7" s="208" t="str">
        <f ca="1">IF(C7=$X$4,IF(ISERROR($V7),"Enter smelter details","RMI"),IF(ISERROR($V7),"",OFFSET('Smelter Look-up'!$F$4,$V7-4,0)))</f>
        <v>RMI</v>
      </c>
      <c r="H7" s="209">
        <f ca="1">IF(ISERROR($V7),"",OFFSET('Smelter Look-up'!$G$4,$V7-4,0))</f>
        <v>0</v>
      </c>
      <c r="I7" s="210" t="str">
        <f ca="1">IF(ISERROR($V7),"",OFFSET('Smelter Look-up'!$H$4,$V7-4,0))</f>
        <v>Depew</v>
      </c>
      <c r="J7" s="210" t="str">
        <f ca="1">IF(ISERROR($V7),"",OFFSET('Smelter Look-up'!$I$4,$V7-4,0))</f>
        <v>New York</v>
      </c>
      <c r="K7" s="260"/>
      <c r="L7" s="260"/>
      <c r="M7" s="260"/>
      <c r="N7" s="260"/>
      <c r="O7" s="260"/>
      <c r="P7" s="211"/>
      <c r="Q7" s="261"/>
      <c r="R7" s="208" t="str">
        <f ca="1">IF(ISERROR($V7),"",OFFSET('Smelter Look-up'!$C$4,$V7-4,0)&amp;"")</f>
        <v>Niagara Refining LLC</v>
      </c>
      <c r="S7" s="215" t="str">
        <f t="shared" ca="1" si="3"/>
        <v>US</v>
      </c>
      <c r="T7" s="215" t="str">
        <f ca="1">IF(B7="","",IF(ISERROR(MATCH($J7,SorP!$B$1:$B$6230,0)),"",INDIRECT("'SorP'!$A$"&amp;MATCH($J7,SorP!$B$1:$B$6230,0))))</f>
        <v>US-NY</v>
      </c>
      <c r="U7" s="231"/>
      <c r="V7" s="262">
        <f ca="1">IF(C7="",NA(),IF(OR(C7="Smelter not listed",C7="Smelter not yet identified"),MATCH($B7&amp;$D7,'Smelter Look-up'!$J:$J,0),MATCH($B7&amp;$C7,'Smelter Look-up'!$J:$J,0)))</f>
        <v>612</v>
      </c>
      <c r="W7" s="263"/>
      <c r="X7" s="263">
        <f t="shared" ca="1" si="4"/>
        <v>0</v>
      </c>
      <c r="Y7" s="263"/>
      <c r="Z7" s="263"/>
      <c r="AB7" s="265" t="str">
        <f t="shared" ca="1" si="5"/>
        <v>TungstenNiagara Refining LLC</v>
      </c>
    </row>
    <row r="8" spans="1:34" s="264" customFormat="1" ht="36.75" customHeight="1">
      <c r="A8" s="207" t="s">
        <v>792</v>
      </c>
      <c r="B8" s="208" t="str">
        <f ca="1">IF(LEN(A8)=0,"",INDEX('Smelter Look-up'!$A:$A,MATCH($A8,'Smelter Look-up'!$E:$E,0)))</f>
        <v>Tungsten</v>
      </c>
      <c r="C8" s="212" t="str">
        <f ca="1">IF(LEN(A8)=0,"",INDEX('Smelter Look-up'!$C:$C,MATCH($A8,'Smelter Look-up'!$E:$E,0)))</f>
        <v>A.L.M.T. Corp.</v>
      </c>
      <c r="D8" s="270"/>
      <c r="E8" s="208" t="str">
        <f ca="1">IF(ISERROR($V8),"",OFFSET('Smelter Look-up'!$D$4,$V8-4,0)&amp;"")</f>
        <v>JAPAN</v>
      </c>
      <c r="F8" s="208" t="str">
        <f ca="1">IF(ISERROR($V8),"",OFFSET('Smelter Look-up'!$E$4,$V8-4,0))</f>
        <v>CID000004</v>
      </c>
      <c r="G8" s="208" t="str">
        <f ca="1">IF(C8=$X$4,IF(ISERROR($V8),"Enter smelter details","RMI"),IF(ISERROR($V8),"",OFFSET('Smelter Look-up'!$F$4,$V8-4,0)))</f>
        <v>RMI</v>
      </c>
      <c r="H8" s="209">
        <f ca="1">IF(ISERROR($V8),"",OFFSET('Smelter Look-up'!$G$4,$V8-4,0))</f>
        <v>0</v>
      </c>
      <c r="I8" s="210" t="str">
        <f ca="1">IF(ISERROR($V8),"",OFFSET('Smelter Look-up'!$H$4,$V8-4,0))</f>
        <v>Toyama City</v>
      </c>
      <c r="J8" s="210" t="str">
        <f ca="1">IF(ISERROR($V8),"",OFFSET('Smelter Look-up'!$I$4,$V8-4,0))</f>
        <v>Toyama</v>
      </c>
      <c r="K8" s="260"/>
      <c r="L8" s="260"/>
      <c r="M8" s="260"/>
      <c r="N8" s="260"/>
      <c r="O8" s="260"/>
      <c r="P8" s="211"/>
      <c r="Q8" s="261"/>
      <c r="R8" s="208" t="str">
        <f ca="1">IF(ISERROR($V8),"",OFFSET('Smelter Look-up'!$C$4,$V8-4,0)&amp;"")</f>
        <v>A.L.M.T. Corp.</v>
      </c>
      <c r="S8" s="215" t="str">
        <f t="shared" ca="1" si="3"/>
        <v>JP</v>
      </c>
      <c r="T8" s="215" t="str">
        <f ca="1">IF(B8="","",IF(ISERROR(MATCH($J8,SorP!$B$1:$B$6230,0)),"",INDIRECT("'SorP'!$A$"&amp;MATCH($J8,SorP!$B$1:$B$6230,0))))</f>
        <v>JP-16</v>
      </c>
      <c r="U8" s="231"/>
      <c r="V8" s="262">
        <f ca="1">IF(C8="",NA(),IF(OR(C8="Smelter not listed",C8="Smelter not yet identified"),MATCH($B8&amp;$D8,'Smelter Look-up'!$J:$J,0),MATCH($B8&amp;$C8,'Smelter Look-up'!$J:$J,0)))</f>
        <v>554</v>
      </c>
      <c r="W8" s="263"/>
      <c r="X8" s="263">
        <f t="shared" ca="1" si="4"/>
        <v>0</v>
      </c>
      <c r="Y8" s="263"/>
      <c r="Z8" s="263"/>
      <c r="AB8" s="265" t="str">
        <f t="shared" ca="1" si="5"/>
        <v>TungstenA.L.M.T. Corp.</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EBC61E7-4E55-47C2-8BD2-BA57E9D4FED7}"/>
    </customSheetView>
  </customSheetViews>
  <mergeCells count="3">
    <mergeCell ref="J2:O2"/>
    <mergeCell ref="B3:E3"/>
    <mergeCell ref="G3:I3"/>
  </mergeCells>
  <conditionalFormatting sqref="B586:B2504">
    <cfRule type="expression" dxfId="42" priority="38" stopIfTrue="1">
      <formula>IF(B586="",TRUE)</formula>
    </cfRule>
    <cfRule type="expression" dxfId="41" priority="49" stopIfTrue="1">
      <formula>IF(AND(COUNTIF(MetalSmelter,B586&amp;C586)=0,LEN(C586)&gt;0),TRUE,FALSE)</formula>
    </cfRule>
  </conditionalFormatting>
  <conditionalFormatting sqref="R586:R2505 E586:E2504">
    <cfRule type="expression" dxfId="40" priority="45" stopIfTrue="1">
      <formula>IF(AND(E586="",$C586=$X$4),TRUE)</formula>
    </cfRule>
    <cfRule type="expression" dxfId="39" priority="46" stopIfTrue="1">
      <formula>IF(FIND("!",E586),TRUE)</formula>
    </cfRule>
  </conditionalFormatting>
  <conditionalFormatting sqref="F586:F2504">
    <cfRule type="expression" dxfId="38" priority="36" stopIfTrue="1">
      <formula>IF(AND(LEN($A586)&gt;0,$A586&lt;&gt;$F586),TRUE,FALSE)</formula>
    </cfRule>
  </conditionalFormatting>
  <conditionalFormatting sqref="C586:C2504">
    <cfRule type="expression" dxfId="37" priority="35" stopIfTrue="1">
      <formula>IF(AND(B586&lt;&gt;"",C586=""),TRUE)</formula>
    </cfRule>
  </conditionalFormatting>
  <conditionalFormatting sqref="B21:B585 B5:B19">
    <cfRule type="expression" dxfId="36" priority="14" stopIfTrue="1">
      <formula>IF(B5="",TRUE)</formula>
    </cfRule>
    <cfRule type="expression" dxfId="35" priority="17" stopIfTrue="1">
      <formula>IF(AND(COUNTIF(MetalSmelter,B5&amp;C5)=0,LEN(C5)&gt;0),TRUE,FALSE)</formula>
    </cfRule>
  </conditionalFormatting>
  <conditionalFormatting sqref="G5:G2504">
    <cfRule type="expression" dxfId="34" priority="20" stopIfTrue="1">
      <formula>IF(FIND("Enter smelter details",G5),TRUE)</formula>
    </cfRule>
  </conditionalFormatting>
  <conditionalFormatting sqref="R5:R585 E21:E585 E5:E19">
    <cfRule type="expression" dxfId="33" priority="15" stopIfTrue="1">
      <formula>IF(AND(E5="",$C5=$X$4),TRUE)</formula>
    </cfRule>
    <cfRule type="expression" dxfId="32" priority="16" stopIfTrue="1">
      <formula>IF(FIND("!",E5),TRUE)</formula>
    </cfRule>
  </conditionalFormatting>
  <conditionalFormatting sqref="F5:F19 F21:F585">
    <cfRule type="expression" dxfId="31" priority="13" stopIfTrue="1">
      <formula>IF(AND(LEN($A5)&gt;0,$A5&lt;&gt;$F5),TRUE,FALSE)</formula>
    </cfRule>
  </conditionalFormatting>
  <conditionalFormatting sqref="C21:C585 C5:C19">
    <cfRule type="expression" dxfId="30" priority="12" stopIfTrue="1">
      <formula>IF(AND(B5&lt;&gt;"",C5=""),TRUE)</formula>
    </cfRule>
  </conditionalFormatting>
  <conditionalFormatting sqref="B20">
    <cfRule type="expression" dxfId="29" priority="4" stopIfTrue="1">
      <formula>IF(B20="",TRUE)</formula>
    </cfRule>
    <cfRule type="expression" dxfId="28" priority="7" stopIfTrue="1">
      <formula>IF(AND(COUNTIF(MetalSmelter,B20&amp;C20)=0,LEN(C20)&gt;0),TRUE,FALSE)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conditionalFormatting sqref="D5:D2504">
    <cfRule type="expression" dxfId="23" priority="11" stopIfTrue="1">
      <formula>IF(AND(LEN($C5)&gt;0,AND($C5&lt;&gt;"Smelter Not Listed",ISBLANK($D5))),1,0)</formula>
    </cfRule>
    <cfRule type="expression" dxfId="22" priority="18" stopIfTrue="1">
      <formula>IF(AND(D5="",$C5=$X$4),TRUE)</formula>
    </cfRule>
    <cfRule type="expression" dxfId="21"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3" sqref="D3"/>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Elmet Techologies LLC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 (*)</v>
      </c>
      <c r="B6" s="99" t="str">
        <f>Declaration!D10</f>
        <v>Pure Tungsten and Tungsten Alloy Products</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Tracy Washburn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twashburn@elmettech.com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207-333-6256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Dan Drinan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ddrinan@elmettech.com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https://www.elmettechnologies.com/about-elmet/customer-resources/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0</v>
      </c>
      <c r="G66" s="78">
        <f ca="1">IF(AND(COUNTIF(SmelterIdetifiedForMetal,"Tin")&gt;0,COUNTIF('Smelter List'!AB$5:AB$2504,"Tin?*")&gt;0),0,1)</f>
        <v>1</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0</v>
      </c>
      <c r="G67" s="78">
        <f ca="1">IF(AND(COUNTIF(SmelterIdetifiedForMetal,"Gold")&gt;0,COUNTIF('Smelter List'!AB$5:AB$2504,"Gold?*")&gt;0),0,1)</f>
        <v>1</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0" priority="358" stopIfTrue="1">
      <formula>$H$56=0</formula>
    </cfRule>
  </conditionalFormatting>
  <conditionalFormatting sqref="B66">
    <cfRule type="expression" dxfId="19" priority="39" stopIfTrue="1">
      <formula>IF(F66=0,TRUE)</formula>
    </cfRule>
  </conditionalFormatting>
  <conditionalFormatting sqref="B67">
    <cfRule type="expression" dxfId="18" priority="35" stopIfTrue="1">
      <formula>IF(F67=0,TRUE)</formula>
    </cfRule>
  </conditionalFormatting>
  <conditionalFormatting sqref="B68:B69">
    <cfRule type="expression" dxfId="17" priority="31" stopIfTrue="1">
      <formula>IF(F68=0,TRUE)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conditionalFormatting sqref="A4:A69 C4:C69">
    <cfRule type="expression" dxfId="9" priority="347" stopIfTrue="1">
      <formula>$F4=0</formula>
    </cfRule>
    <cfRule type="expression" dxfId="8" priority="348" stopIfTrue="1">
      <formula>$H4=0</formula>
    </cfRule>
    <cfRule type="expression" dxfId="7"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48" t="str">
        <f ca="1">OFFSET(L!$C$1,MATCH("Product List"&amp;ADDRESS(ROW(),COLUMN(),4),L!$A:$A,0)-1,SL,,)</f>
        <v>Completion required only if reporting level "Product (or List of Products)" selected on the 'Declaration' worksheet.</v>
      </c>
      <c r="B1" s="449"/>
      <c r="C1" s="449"/>
      <c r="D1" s="44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7" t="s">
        <v>898</v>
      </c>
      <c r="C4" s="447"/>
      <c r="D4" s="447"/>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0" t="str">
        <f ca="1">OFFSET(L!$C$1,MATCH("General"&amp;"Cpy",L!$A:$A,0)-1,SL,,)</f>
        <v>© 2022 Responsible Minerals Initiative. All rights reserved.</v>
      </c>
      <c r="C2006" s="450"/>
      <c r="D2006" s="450"/>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Drinan</cp:lastModifiedBy>
  <cp:lastPrinted>2015-04-21T20:47:43Z</cp:lastPrinted>
  <dcterms:created xsi:type="dcterms:W3CDTF">2010-06-21T21:00:23Z</dcterms:created>
  <dcterms:modified xsi:type="dcterms:W3CDTF">2022-06-01T18:39:57Z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