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ddrinan\Desktop\"/>
    </mc:Choice>
  </mc:AlternateContent>
  <xr:revisionPtr revIDLastSave="0" documentId="13_ncr:1_{94CAC506-3BDD-4C0D-BA6E-08398343F7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B15" i="5"/>
  <c r="T15" i="5" s="1"/>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E15" i="5" s="1"/>
  <c r="X15" i="5" s="1"/>
  <c r="V16" i="5"/>
  <c r="E16" i="5"/>
  <c r="X16" i="5" s="1"/>
  <c r="V17" i="5"/>
  <c r="E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V370" i="5"/>
  <c r="E370" i="5"/>
  <c r="X370" i="5" s="1"/>
  <c r="V371" i="5"/>
  <c r="E371" i="5"/>
  <c r="X371" i="5" s="1"/>
  <c r="V372" i="5"/>
  <c r="E372" i="5"/>
  <c r="X372" i="5" s="1"/>
  <c r="V373" i="5"/>
  <c r="E373" i="5"/>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X534" i="5" s="1"/>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X576" i="5" s="1"/>
  <c r="V577" i="5"/>
  <c r="E577" i="5"/>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X588" i="5" s="1"/>
  <c r="V589" i="5"/>
  <c r="E589" i="5"/>
  <c r="V590" i="5"/>
  <c r="E590" i="5"/>
  <c r="X590" i="5" s="1"/>
  <c r="V591" i="5"/>
  <c r="E591" i="5"/>
  <c r="X591" i="5" s="1"/>
  <c r="V592" i="5"/>
  <c r="E592" i="5"/>
  <c r="X592" i="5" s="1"/>
  <c r="V593" i="5"/>
  <c r="E593" i="5"/>
  <c r="V594" i="5"/>
  <c r="E594" i="5"/>
  <c r="X594" i="5" s="1"/>
  <c r="V595" i="5"/>
  <c r="E595" i="5"/>
  <c r="X595" i="5" s="1"/>
  <c r="V596" i="5"/>
  <c r="E596" i="5"/>
  <c r="X596" i="5" s="1"/>
  <c r="V597" i="5"/>
  <c r="E597" i="5"/>
  <c r="V598" i="5"/>
  <c r="E598" i="5"/>
  <c r="X598" i="5" s="1"/>
  <c r="V599" i="5"/>
  <c r="E599" i="5"/>
  <c r="X599" i="5" s="1"/>
  <c r="V600" i="5"/>
  <c r="E600" i="5"/>
  <c r="V601" i="5"/>
  <c r="E601" i="5"/>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V630" i="5"/>
  <c r="E630" i="5"/>
  <c r="X630" i="5" s="1"/>
  <c r="V631" i="5"/>
  <c r="E631" i="5"/>
  <c r="X631" i="5" s="1"/>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V645" i="5"/>
  <c r="E645" i="5"/>
  <c r="V646" i="5"/>
  <c r="E646" i="5"/>
  <c r="X646" i="5" s="1"/>
  <c r="V647" i="5"/>
  <c r="E647" i="5"/>
  <c r="X647" i="5" s="1"/>
  <c r="V648" i="5"/>
  <c r="E648" i="5"/>
  <c r="X648" i="5" s="1"/>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X664" i="5" s="1"/>
  <c r="V665" i="5"/>
  <c r="E665" i="5"/>
  <c r="V666" i="5"/>
  <c r="E666" i="5"/>
  <c r="X666" i="5" s="1"/>
  <c r="V667" i="5"/>
  <c r="E667" i="5"/>
  <c r="X667" i="5" s="1"/>
  <c r="V668" i="5"/>
  <c r="E668" i="5"/>
  <c r="X668" i="5" s="1"/>
  <c r="V669" i="5"/>
  <c r="E669" i="5"/>
  <c r="V670" i="5"/>
  <c r="E670" i="5"/>
  <c r="X670" i="5" s="1"/>
  <c r="V671" i="5"/>
  <c r="E671" i="5"/>
  <c r="X671" i="5" s="1"/>
  <c r="V672" i="5"/>
  <c r="E672" i="5"/>
  <c r="X672" i="5" s="1"/>
  <c r="V673" i="5"/>
  <c r="E673" i="5"/>
  <c r="V674" i="5"/>
  <c r="E674" i="5"/>
  <c r="X674" i="5" s="1"/>
  <c r="V675" i="5"/>
  <c r="E675" i="5"/>
  <c r="X675" i="5" s="1"/>
  <c r="V676" i="5"/>
  <c r="E676" i="5"/>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H63" i="6" s="1"/>
  <c r="D63" i="6" s="1"/>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s="1"/>
  <c r="D11" i="6" s="1"/>
  <c r="G9" i="6"/>
  <c r="H9" i="6" s="1"/>
  <c r="D9" i="6" s="1"/>
  <c r="B8" i="6"/>
  <c r="G8" i="6" s="1"/>
  <c r="H8" i="6" s="1"/>
  <c r="D8" i="6" s="1"/>
  <c r="B7" i="6"/>
  <c r="G7" i="6" s="1"/>
  <c r="H7" i="6" s="1"/>
  <c r="D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21" i="5"/>
  <c r="X37" i="5"/>
  <c r="X121" i="5"/>
  <c r="X149" i="5"/>
  <c r="S532" i="5"/>
  <c r="S356" i="5"/>
  <c r="X233" i="5"/>
  <c r="X329" i="5"/>
  <c r="X241" i="5"/>
  <c r="X353" i="5"/>
  <c r="S343" i="5"/>
  <c r="X217" i="5"/>
  <c r="X369" i="5"/>
  <c r="S315" i="5"/>
  <c r="X253" i="5"/>
  <c r="X373" i="5"/>
  <c r="S357" i="5"/>
  <c r="S383" i="5"/>
  <c r="X313" i="5"/>
  <c r="X345" i="5"/>
  <c r="X285" i="5"/>
  <c r="X321" i="5"/>
  <c r="X309" i="5"/>
  <c r="B32" i="6"/>
  <c r="G32" i="6" s="1"/>
  <c r="H32" i="6" s="1"/>
  <c r="D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B49" i="6"/>
  <c r="G49" i="6"/>
  <c r="B34" i="6"/>
  <c r="G34" i="6"/>
  <c r="B29" i="6"/>
  <c r="G29" i="6"/>
  <c r="H29" i="6" s="1"/>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X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S599" i="5"/>
  <c r="X465" i="5"/>
  <c r="X493" i="5"/>
  <c r="S611" i="5"/>
  <c r="X577" i="5"/>
  <c r="X601" i="5"/>
  <c r="S601" i="5"/>
  <c r="X340" i="5"/>
  <c r="X521" i="5"/>
  <c r="X152" i="5"/>
  <c r="X244" i="5"/>
  <c r="X281" i="5"/>
  <c r="X524" i="5"/>
  <c r="X565" i="5"/>
  <c r="X517" i="5"/>
  <c r="X600" i="5"/>
  <c r="S600" i="5"/>
  <c r="X365" i="5"/>
  <c r="X481" i="5"/>
  <c r="X569" i="5"/>
  <c r="X553" i="5"/>
  <c r="X144" i="5"/>
  <c r="S382" i="5"/>
  <c r="X525" i="5"/>
  <c r="X537" i="5"/>
  <c r="X469" i="5"/>
  <c r="X529" i="5"/>
  <c r="X305" i="5"/>
  <c r="X277" i="5"/>
  <c r="X297" i="5"/>
  <c r="X533" i="5"/>
  <c r="S533" i="5"/>
  <c r="X485" i="5"/>
  <c r="X148" i="5"/>
  <c r="X513" i="5"/>
  <c r="X609" i="5"/>
  <c r="X561" i="5"/>
  <c r="X545" i="5"/>
  <c r="X216" i="5"/>
  <c r="S355" i="5"/>
  <c r="X541" i="5"/>
  <c r="S602" i="5"/>
  <c r="X573" i="5"/>
  <c r="X497" i="5"/>
  <c r="X549" i="5"/>
  <c r="S603" i="5"/>
  <c r="X248" i="5"/>
  <c r="X477" i="5"/>
  <c r="X104" i="5"/>
  <c r="X605" i="5"/>
  <c r="S605" i="5"/>
  <c r="X189" i="5"/>
  <c r="X581" i="5"/>
  <c r="S607" i="5"/>
  <c r="X489" i="5"/>
  <c r="X557" i="5"/>
  <c r="X501" i="5"/>
  <c r="X473" i="5"/>
  <c r="X509" i="5"/>
  <c r="X201" i="5"/>
  <c r="S314" i="5"/>
  <c r="X593" i="5"/>
  <c r="X160" i="5"/>
  <c r="X272" i="5"/>
  <c r="X585" i="5"/>
  <c r="X261" i="5"/>
  <c r="X293" i="5"/>
  <c r="X265" i="5"/>
  <c r="H39" i="6"/>
  <c r="D39" i="6"/>
  <c r="H26" i="6"/>
  <c r="H24" i="6"/>
  <c r="H35" i="6"/>
  <c r="D35" i="6"/>
  <c r="H40" i="6"/>
  <c r="D40" i="6"/>
  <c r="H46" i="6"/>
  <c r="D46" i="6"/>
  <c r="H31" i="6"/>
  <c r="H30" i="6"/>
  <c r="AB17" i="5"/>
  <c r="AB16" i="5"/>
  <c r="AB15" i="5"/>
  <c r="H49" i="6"/>
  <c r="D49" i="6"/>
  <c r="H34" i="6"/>
  <c r="D19" i="6"/>
  <c r="K65" i="6"/>
  <c r="D24" i="6"/>
  <c r="D20" i="6"/>
  <c r="C2" i="6"/>
  <c r="B2" i="6"/>
  <c r="F57" i="6"/>
  <c r="H57" i="6"/>
  <c r="H54" i="6"/>
  <c r="F62" i="6"/>
  <c r="H62" i="6"/>
  <c r="F58" i="6"/>
  <c r="H58" i="6"/>
  <c r="F60" i="6"/>
  <c r="H60" i="6"/>
  <c r="F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R16" i="5"/>
  <c r="I16" i="5"/>
  <c r="H16" i="5"/>
  <c r="J16" i="5"/>
  <c r="F16" i="5"/>
  <c r="H17" i="5"/>
  <c r="I17" i="5"/>
  <c r="J17" i="5"/>
  <c r="R17" i="5"/>
  <c r="F17" i="5"/>
  <c r="H15" i="5"/>
  <c r="J15" i="5"/>
  <c r="I15" i="5"/>
  <c r="F15" i="5"/>
  <c r="R15" i="5"/>
  <c r="D60" i="6"/>
  <c r="D58" i="6"/>
  <c r="D62" i="6"/>
  <c r="D54" i="6"/>
  <c r="D57" i="6"/>
  <c r="F56" i="6"/>
  <c r="H56" i="6"/>
  <c r="H55" i="6"/>
  <c r="D59" i="6"/>
  <c r="X17" i="5"/>
  <c r="D55" i="6"/>
  <c r="D56" i="6"/>
  <c r="S17" i="5"/>
  <c r="S16" i="5"/>
  <c r="S15" i="5"/>
  <c r="G64" i="6" a="1"/>
  <c r="C6" i="6" l="1"/>
  <c r="C14" i="5"/>
  <c r="C63" i="6"/>
  <c r="C56" i="6"/>
  <c r="C11" i="6"/>
  <c r="C10" i="6"/>
  <c r="C9" i="6"/>
  <c r="C8" i="6"/>
  <c r="C7" i="6"/>
  <c r="A14" i="6"/>
  <c r="B70" i="4"/>
  <c r="A51" i="6" s="1"/>
  <c r="C4" i="6"/>
  <c r="B69" i="4"/>
  <c r="A50" i="6" s="1"/>
  <c r="B51" i="4"/>
  <c r="A35" i="6" s="1"/>
  <c r="B68" i="4"/>
  <c r="A49" i="6" s="1"/>
  <c r="B50" i="4"/>
  <c r="A34" i="6" s="1"/>
  <c r="G15" i="5"/>
  <c r="B14" i="5"/>
  <c r="V14" i="5" s="1"/>
  <c r="A16" i="6"/>
  <c r="D37" i="4"/>
  <c r="D61" i="4"/>
  <c r="D67" i="4"/>
  <c r="B71" i="4"/>
  <c r="A52" i="6" s="1"/>
  <c r="A27" i="6"/>
  <c r="B65" i="4"/>
  <c r="A47" i="6" s="1"/>
  <c r="B59" i="4"/>
  <c r="A42" i="6" s="1"/>
  <c r="B58" i="4"/>
  <c r="A41" i="6" s="1"/>
  <c r="D43" i="4"/>
  <c r="B52" i="4"/>
  <c r="A36" i="6" s="1"/>
  <c r="D74" i="4"/>
  <c r="B33" i="4"/>
  <c r="A20" i="6" s="1"/>
  <c r="B57" i="4"/>
  <c r="A40" i="6" s="1"/>
  <c r="D55" i="4"/>
  <c r="C32" i="6"/>
  <c r="B64" i="4"/>
  <c r="A46" i="6" s="1"/>
  <c r="D49" i="4"/>
  <c r="C27" i="6"/>
  <c r="A25" i="6"/>
  <c r="B56" i="4"/>
  <c r="A39" i="6" s="1"/>
  <c r="B63" i="4"/>
  <c r="A45" i="6" s="1"/>
  <c r="C29" i="6"/>
  <c r="D29" i="6"/>
  <c r="B62" i="4"/>
  <c r="A44" i="6" s="1"/>
  <c r="A24" i="6"/>
  <c r="A17" i="6"/>
  <c r="G43" i="4"/>
  <c r="C12" i="6"/>
  <c r="B10" i="5"/>
  <c r="B9" i="5"/>
  <c r="C12" i="5"/>
  <c r="B7" i="5"/>
  <c r="C11" i="5"/>
  <c r="C6" i="5"/>
  <c r="G55" i="4"/>
  <c r="G74" i="4"/>
  <c r="G49" i="4"/>
  <c r="G67" i="4"/>
  <c r="G31" i="4"/>
  <c r="G37" i="4"/>
  <c r="B11" i="5"/>
  <c r="C8" i="5"/>
  <c r="B6" i="5"/>
  <c r="B13" i="5"/>
  <c r="C10" i="5"/>
  <c r="C7" i="5"/>
  <c r="C5" i="5"/>
  <c r="AB5" i="5" s="1"/>
  <c r="G64" i="6"/>
  <c r="C13" i="5"/>
  <c r="B12" i="5"/>
  <c r="C9" i="5"/>
  <c r="B8" i="5"/>
  <c r="D31" i="4"/>
  <c r="I14" i="5" l="1"/>
  <c r="R14" i="5"/>
  <c r="J14" i="5"/>
  <c r="H14" i="5"/>
  <c r="E14" i="5"/>
  <c r="X14" i="5" s="1"/>
  <c r="F14" i="5"/>
  <c r="G14" i="5"/>
  <c r="AB14" i="5"/>
  <c r="AB11" i="5"/>
  <c r="AB6" i="5"/>
  <c r="V6" i="5"/>
  <c r="R6" i="5" s="1"/>
  <c r="V5" i="5"/>
  <c r="I5" i="5" s="1"/>
  <c r="V10" i="5"/>
  <c r="AB10" i="5"/>
  <c r="V11" i="5"/>
  <c r="V7" i="5"/>
  <c r="AB7" i="5"/>
  <c r="V13" i="5"/>
  <c r="G13" i="5" s="1"/>
  <c r="AB13" i="5"/>
  <c r="F69" i="6"/>
  <c r="AB12" i="5"/>
  <c r="V12" i="5"/>
  <c r="AB8" i="5"/>
  <c r="V8" i="5"/>
  <c r="AB9" i="5"/>
  <c r="G66" i="6" s="1"/>
  <c r="H66" i="6" s="1"/>
  <c r="V9" i="5"/>
  <c r="G9" i="5" s="1"/>
  <c r="B64" i="6"/>
  <c r="H64" i="6"/>
  <c r="E5" i="5" l="1"/>
  <c r="X5" i="5" s="1"/>
  <c r="F5" i="5"/>
  <c r="R5" i="5"/>
  <c r="G5" i="5"/>
  <c r="J5" i="5"/>
  <c r="H5" i="5"/>
  <c r="G6" i="5"/>
  <c r="I6" i="5"/>
  <c r="E6" i="5"/>
  <c r="J6" i="5"/>
  <c r="H6" i="5"/>
  <c r="G68" i="6"/>
  <c r="H68" i="6" s="1"/>
  <c r="C68" i="6" s="1"/>
  <c r="F6" i="5"/>
  <c r="G65" i="6"/>
  <c r="H65" i="6" s="1"/>
  <c r="D65" i="6" s="1"/>
  <c r="F7" i="5"/>
  <c r="I7" i="5"/>
  <c r="G7" i="5"/>
  <c r="H7" i="5"/>
  <c r="J7" i="5"/>
  <c r="R7" i="5"/>
  <c r="E7" i="5"/>
  <c r="F10" i="5"/>
  <c r="I10" i="5"/>
  <c r="R10" i="5"/>
  <c r="E10" i="5"/>
  <c r="J10" i="5"/>
  <c r="H10" i="5"/>
  <c r="I11" i="5"/>
  <c r="J11" i="5"/>
  <c r="E11" i="5"/>
  <c r="G11" i="5"/>
  <c r="F11" i="5"/>
  <c r="H11" i="5"/>
  <c r="R11" i="5"/>
  <c r="G10" i="5"/>
  <c r="C69" i="6"/>
  <c r="E9" i="5"/>
  <c r="F9" i="5"/>
  <c r="H9" i="5"/>
  <c r="I9" i="5"/>
  <c r="J9" i="5"/>
  <c r="R9" i="5"/>
  <c r="J8" i="5"/>
  <c r="F8" i="5"/>
  <c r="G8" i="5"/>
  <c r="R8" i="5"/>
  <c r="E8" i="5"/>
  <c r="H8" i="5"/>
  <c r="I8" i="5"/>
  <c r="C64" i="6"/>
  <c r="D64" i="6"/>
  <c r="G67" i="6"/>
  <c r="H67" i="6" s="1"/>
  <c r="J12" i="5"/>
  <c r="H12" i="5"/>
  <c r="G12" i="5"/>
  <c r="I12" i="5"/>
  <c r="E12" i="5"/>
  <c r="R12" i="5"/>
  <c r="F12" i="5"/>
  <c r="C66" i="6"/>
  <c r="D66" i="6"/>
  <c r="E13" i="5"/>
  <c r="R13" i="5"/>
  <c r="I13" i="5"/>
  <c r="H13" i="5"/>
  <c r="F13" i="5"/>
  <c r="J13" i="5"/>
  <c r="S14" i="5"/>
  <c r="S10" i="5"/>
  <c r="S6" i="5"/>
  <c r="S5" i="5"/>
  <c r="S11" i="5"/>
  <c r="S7" i="5"/>
  <c r="D68" i="6" l="1"/>
  <c r="C65" i="6"/>
  <c r="X6" i="5"/>
  <c r="X11" i="5"/>
  <c r="X10" i="5"/>
  <c r="X7" i="5"/>
  <c r="X13" i="5"/>
  <c r="X12" i="5"/>
  <c r="D67" i="6"/>
  <c r="C67" i="6"/>
  <c r="X9" i="5"/>
  <c r="X8" i="5"/>
  <c r="G69" i="6" a="1"/>
  <c r="G69" i="6" s="1"/>
  <c r="H69" i="6" s="1"/>
  <c r="H70" i="6" s="1"/>
  <c r="D2" i="6" s="1"/>
  <c r="T14" i="5"/>
  <c r="T5" i="5"/>
  <c r="S9" i="5"/>
  <c r="S13" i="5"/>
  <c r="T7" i="5"/>
  <c r="T10" i="5"/>
  <c r="S12" i="5"/>
  <c r="T11" i="5"/>
  <c r="T6" i="5"/>
  <c r="S8" i="5"/>
  <c r="T12" i="5" l="1"/>
  <c r="T9" i="5"/>
  <c r="T13"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<sst xmlns="http://schemas.openxmlformats.org/spreadsheetml/2006/main" count="22369" uniqueCount="15811">
  <si>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</si>
  <si>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</si>
  <si>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</si>
  <si>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</si>
  <si>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</si>
  <si>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</si>
  <si>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</si>
  <si>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</si>
  <si>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</si>
  <si>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</si>
  <si>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</si>
  <si>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</si>
  <si>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</si>
  <si>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</si>
  <si>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</si>
  <si>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</si>
  <si>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</si>
  <si>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</si>
  <si>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</si>
  <si>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</si>
  <si>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</si>
  <si>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</si>
  <si>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</si>
  <si>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</si>
  <si>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</si>
  <si>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</si>
  <si>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</si>
  <si>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</si>
  <si>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</si>
  <si>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</si>
  <si>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</si>
  <si>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</si>
  <si>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</si>
  <si>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</si>
  <si>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</si>
  <si>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</si>
  <si>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</si>
  <si>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</si>
  <si>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</si>
  <si>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</si>
  <si>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</si>
  <si>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</si>
  <si>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</si>
  <si>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</si>
  <si>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</si>
  <si>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</si>
  <si>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</si>
  <si>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</si>
  <si>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</si>
  <si>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</si>
  <si>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</si>
  <si>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</si>
  <si>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</si>
  <si>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</si>
  <si>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</si>
  <si>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</si>
  <si>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</si>
  <si>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</si>
  <si>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</si>
  <si>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</si>
  <si>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</si>
  <si>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</si>
  <si>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</si>
  <si>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</si>
  <si>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</si>
  <si>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</si>
  <si>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</si>
  <si>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</si>
  <si>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</si>
  <si>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</si>
  <si>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</si>
  <si>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</si>
  <si>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</si>
  <si>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</si>
  <si>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</si>
  <si>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</si>
  <si>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</si>
  <si>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</si>
  <si>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</si>
  <si>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</si>
  <si>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</si>
  <si>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</si>
  <si>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</si>
  <si>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</si>
  <si>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</si>
  <si>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</si>
  <si>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</si>
  <si>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</si>
  <si>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</si>
  <si>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</si>
  <si>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</si>
  <si>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</si>
  <si>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</si>
  <si>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</si>
  <si>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</si>
  <si>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</si>
  <si>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</si>
  <si>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</si>
  <si>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</si>
  <si>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</si>
  <si>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</si>
  <si>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</si>
  <si>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</si>
  <si>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</si>
  <si>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</si>
  <si>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</si>
  <si>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</si>
  <si>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</si>
  <si>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</si>
  <si>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</si>
  <si>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</si>
  <si>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</si>
  <si>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</si>
  <si>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</si>
  <si>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</si>
  <si>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</si>
  <si>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</si>
  <si>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</si>
  <si>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</si>
  <si>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</si>
  <si>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</si>
  <si>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</si>
  <si>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</si>
  <si>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</si>
  <si>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</si>
  <si>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</si>
  <si>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</si>
  <si>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</si>
  <si>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</si>
  <si>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</si>
  <si>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</si>
  <si>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</si>
  <si>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</si>
  <si>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</si>
  <si>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</si>
  <si>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</si>
  <si>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</si>
  <si>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</si>
  <si>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</si>
  <si>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</si>
  <si>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</si>
  <si>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</si>
  <si>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</si>
  <si>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</si>
  <si>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</si>
  <si>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</si>
  <si>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</si>
  <si>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</si>
  <si>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</si>
  <si>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</si>
  <si>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</si>
  <si>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</si>
  <si>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</si>
  <si>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</si>
  <si>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</si>
  <si>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</si>
  <si>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</si>
  <si>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</si>
  <si>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</si>
  <si>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</si>
  <si>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</si>
  <si>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</si>
  <si>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</si>
  <si>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</si>
  <si>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</si>
  <si>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</si>
  <si>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</si>
  <si>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</si>
  <si>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</si>
  <si>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</si>
  <si>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</si>
  <si>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</si>
  <si>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</si>
  <si>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</si>
  <si>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</si>
  <si>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</si>
  <si>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</si>
  <si>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</si>
  <si>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</si>
  <si>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</si>
  <si>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</si>
  <si>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</si>
  <si>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</si>
  <si>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</si>
  <si>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</si>
  <si>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</si>
  <si>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</si>
  <si>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</si>
  <si>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</si>
  <si>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</si>
  <si>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</si>
  <si>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</si>
  <si>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</si>
  <si>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</si>
  <si>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</si>
  <si>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</si>
  <si>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</si>
  <si>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</si>
  <si>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</si>
  <si>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</si>
  <si>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</si>
  <si>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</si>
  <si>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</si>
  <si>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</si>
  <si>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</si>
  <si>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</si>
  <si>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</si>
  <si>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</si>
  <si>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</si>
  <si>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</si>
  <si>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</si>
  <si>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</si>
  <si>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</si>
  <si>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</si>
  <si>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</si>
  <si>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</si>
  <si>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</si>
  <si>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</si>
  <si>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</si>
  <si>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</si>
  <si>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</si>
  <si>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</si>
  <si>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</si>
  <si>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</si>
  <si>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</si>
  <si>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</si>
  <si>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</si>
  <si>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</si>
  <si>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</si>
  <si>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</si>
  <si>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</si>
  <si>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</si>
  <si>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</si>
  <si>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</si>
  <si>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</si>
  <si>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</si>
  <si>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</si>
  <si>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</si>
  <si>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</si>
  <si>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</si>
  <si>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</si>
  <si>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</si>
  <si>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</si>
  <si>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</si>
  <si>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</si>
  <si>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</si>
  <si>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</si>
  <si>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</si>
  <si>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</si>
  <si>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</si>
  <si>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</si>
  <si>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</si>
  <si>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</si>
  <si>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</si>
  <si>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</si>
  <si>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</si>
  <si>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</si>
  <si>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</si>
  <si>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</si>
  <si>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</si>
  <si>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</si>
  <si>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</si>
  <si>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</si>
  <si>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</si>
  <si>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</si>
  <si>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</si>
  <si>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</si>
  <si>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</si>
  <si>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</si>
  <si>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</si>
  <si>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</si>
  <si>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</si>
  <si>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</si>
  <si>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</si>
  <si>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</si>
  <si>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</si>
  <si>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</si>
  <si>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</si>
  <si>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</si>
  <si>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</si>
  <si>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</si>
  <si>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</si>
  <si>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</si>
  <si>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</si>
  <si>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</si>
  <si>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</si>
  <si>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</si>
  <si>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</si>
  <si>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</si>
  <si>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</si>
  <si>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</si>
  <si>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</si>
  <si>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</si>
  <si>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</si>
  <si>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</si>
  <si>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</si>
  <si>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</si>
  <si>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</si>
  <si>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</si>
  <si>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</si>
  <si>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</si>
  <si>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</si>
  <si>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</si>
  <si>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</si>
  <si>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</si>
  <si>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</si>
  <si>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</si>
  <si>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</si>
  <si>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</si>
  <si>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</si>
  <si>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</si>
  <si>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</si>
  <si>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</si>
  <si>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</si>
  <si>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</si>
  <si>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</si>
  <si>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</si>
  <si>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</si>
  <si>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</si>
  <si>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</si>
  <si>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</si>
  <si>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</si>
  <si>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</si>
  <si>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</si>
  <si>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</si>
  <si>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</si>
  <si>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</si>
  <si>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</si>
  <si>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</si>
  <si>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</si>
  <si>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</si>
  <si>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</si>
  <si>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</si>
  <si>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</si>
  <si>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</si>
  <si>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</si>
  <si>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</si>
  <si>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</si>
  <si>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</si>
  <si>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</si>
  <si>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</si>
  <si>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</si>
  <si>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</si>
  <si>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</si>
  <si>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</si>
  <si>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</si>
  <si>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</si>
  <si>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</si>
  <si>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</si>
  <si>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</si>
  <si>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</si>
  <si>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</si>
  <si>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</si>
  <si>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</si>
  <si>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</si>
  <si>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</si>
  <si>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</si>
  <si>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</si>
  <si>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</si>
  <si>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</si>
  <si>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</si>
  <si>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</si>
  <si>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</si>
  <si>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</si>
  <si>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</si>
  <si>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</si>
  <si>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</si>
  <si>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</si>
  <si>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</si>
  <si>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</si>
  <si>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</si>
  <si>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</si>
  <si>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</si>
  <si>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</si>
  <si>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</si>
  <si>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</si>
  <si>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</si>
  <si>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</si>
  <si>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</si>
  <si>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</si>
  <si>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</si>
  <si>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</si>
  <si>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</si>
  <si>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</si>
  <si>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</si>
  <si>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</si>
  <si>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</si>
  <si>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</si>
  <si>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</si>
  <si>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</si>
  <si>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</si>
  <si>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</si>
  <si>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</si>
  <si>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</si>
  <si>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</si>
  <si>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</si>
  <si>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</si>
  <si>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</si>
  <si>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</si>
  <si>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</si>
  <si>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</si>
  <si>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</si>
  <si>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</si>
  <si>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</si>
  <si>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</si>
  <si>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</si>
  <si>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</si>
  <si>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</si>
  <si>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</si>
  <si>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</si>
  <si>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</si>
  <si>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</si>
  <si>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</si>
  <si>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</si>
  <si>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</si>
  <si>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</si>
  <si>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</si>
  <si>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</si>
  <si>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</si>
  <si>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</si>
  <si>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</si>
  <si>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</si>
  <si>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</si>
  <si>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</si>
  <si>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</si>
  <si>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</si>
  <si>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</si>
  <si>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</si>
  <si>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</si>
  <si>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</si>
  <si>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</si>
  <si>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</si>
  <si>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</si>
  <si>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</si>
  <si>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</si>
  <si>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</si>
  <si>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</si>
  <si>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</si>
  <si>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</si>
  <si>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</si>
  <si>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</si>
  <si>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</si>
  <si>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</si>
  <si>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</si>
  <si>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</si>
  <si>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</si>
  <si>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</si>
  <si>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</si>
  <si>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</si>
  <si>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</si>
  <si>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</si>
  <si>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</si>
  <si>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</si>
  <si>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</si>
  <si>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</si>
  <si>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</si>
  <si>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</si>
  <si>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</si>
  <si>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</si>
  <si>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</si>
  <si>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</si>
  <si>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</si>
  <si>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</si>
  <si>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</si>
  <si>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</si>
  <si>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</si>
  <si>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</si>
  <si>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</si>
  <si>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</si>
  <si>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</si>
  <si>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</si>
  <si>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</si>
  <si>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</si>
  <si>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</si>
  <si>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</si>
  <si>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</si>
  <si>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</si>
  <si>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</si>
  <si>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</si>
  <si>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</si>
  <si>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</si>
  <si>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</si>
  <si>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</si>
  <si>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</si>
  <si>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</si>
  <si>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</si>
  <si>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</si>
  <si>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</si>
  <si>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</si>
  <si>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</si>
  <si>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</si>
  <si>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</si>
  <si>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</si>
  <si>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</si>
  <si>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</si>
  <si>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</si>
  <si>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</si>
  <si>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</si>
  <si>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</si>
  <si>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</si>
  <si>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</si>
  <si>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</si>
  <si>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</si>
  <si>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</si>
  <si>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</si>
  <si>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</si>
  <si>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</si>
  <si>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</si>
  <si>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</si>
  <si>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</si>
  <si>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</si>
  <si>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</si>
  <si>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</si>
  <si>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</si>
  <si>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</si>
  <si>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</si>
  <si>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</si>
  <si>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</si>
  <si>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</si>
  <si>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</si>
  <si>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</si>
  <si>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</si>
  <si>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</si>
  <si>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</si>
  <si>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</si>
  <si>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</si>
  <si>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</si>
  <si>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</si>
  <si>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</si>
  <si>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</si>
  <si>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</si>
  <si>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</si>
  <si>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</si>
  <si>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</si>
  <si>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</si>
  <si>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</si>
  <si>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</si>
  <si>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</si>
  <si>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</si>
  <si>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</si>
  <si>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</si>
  <si>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</si>
  <si>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</si>
  <si>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</si>
  <si>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</si>
  <si>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</si>
  <si>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</si>
  <si>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</si>
  <si>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</si>
  <si>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</si>
  <si>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</si>
  <si>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</si>
  <si>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</si>
  <si>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</si>
  <si>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</si>
  <si>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</si>
  <si>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</si>
  <si>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</si>
  <si>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</si>
  <si>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</si>
  <si>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</si>
  <si>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</si>
  <si>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</si>
  <si>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</si>
  <si>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</si>
  <si>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</si>
  <si>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</si>
  <si>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</si>
  <si>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</si>
  <si>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</si>
  <si>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</si>
  <si>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</si>
  <si>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</si>
  <si>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</si>
  <si>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</si>
  <si>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</si>
  <si>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</si>
  <si>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</si>
  <si>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</si>
  <si>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</si>
  <si>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</si>
  <si>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</si>
  <si>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</si>
  <si>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</si>
  <si>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</si>
  <si>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</si>
  <si>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</si>
  <si>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</si>
  <si>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</si>
  <si>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</si>
  <si>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</si>
  <si>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</si>
  <si>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</si>
  <si>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</si>
  <si>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</si>
  <si>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</si>
  <si>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</si>
  <si>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</si>
  <si>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</si>
  <si>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</si>
  <si>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</si>
  <si>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</si>
  <si>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</si>
  <si>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</si>
  <si>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</si>
  <si>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</si>
  <si>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</si>
  <si>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</si>
  <si>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</si>
  <si>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</si>
  <si>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</si>
  <si>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</si>
  <si>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</si>
  <si>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</si>
  <si>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</si>
  <si>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</si>
  <si>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</si>
  <si>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</si>
  <si>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</si>
  <si>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</si>
  <si>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</si>
  <si>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</si>
  <si>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</si>
  <si>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</si>
  <si>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</si>
  <si>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</si>
  <si>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</si>
  <si>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</si>
  <si>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</si>
  <si>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</si>
  <si>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</si>
  <si>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</si>
  <si>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</si>
  <si>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</si>
  <si>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</si>
  <si>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</si>
  <si>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</si>
  <si>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</si>
  <si>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</si>
  <si>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</si>
  <si>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</si>
  <si>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</si>
  <si>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</si>
  <si>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</si>
  <si>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</si>
  <si>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</si>
  <si>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</si>
  <si>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</si>
  <si>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</si>
  <si>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</si>
  <si>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</si>
  <si>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</si>
  <si>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</si>
  <si>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</si>
  <si>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</si>
  <si>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</si>
  <si>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</si>
  <si>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</si>
  <si>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</si>
  <si>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</si>
  <si>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</si>
  <si>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</si>
  <si>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</si>
  <si>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</si>
  <si>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</si>
  <si>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</si>
  <si>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</si>
  <si>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</si>
  <si>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</si>
  <si>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</si>
  <si>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</si>
  <si>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</si>
  <si>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</si>
  <si>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</si>
  <si>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</si>
  <si>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</si>
  <si>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</si>
  <si>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</si>
  <si>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</si>
  <si>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</si>
  <si>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</si>
  <si>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</si>
  <si>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</si>
  <si>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</si>
  <si>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</si>
  <si>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</si>
  <si>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</si>
  <si>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</si>
  <si>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</si>
  <si>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</si>
  <si>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</si>
  <si>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</si>
  <si>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</si>
  <si>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</si>
  <si>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</si>
  <si>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</si>
  <si>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</si>
  <si>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</si>
  <si>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</si>
  <si>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</si>
  <si>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</si>
  <si>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</si>
  <si>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</si>
  <si>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</si>
  <si>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</si>
  <si>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</si>
  <si>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</si>
  <si>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</si>
  <si>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</si>
  <si>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</si>
  <si>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</si>
  <si>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</si>
  <si>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</si>
  <si>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</si>
  <si>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</si>
  <si>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</si>
  <si>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</si>
  <si>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</si>
  <si>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</si>
  <si>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</si>
  <si>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</si>
  <si>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</si>
  <si>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</si>
  <si>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</si>
  <si>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</si>
  <si>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</si>
  <si>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</si>
  <si>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</si>
  <si>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</si>
  <si>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</si>
  <si>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</si>
  <si>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</si>
  <si>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</si>
  <si>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</si>
  <si>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</si>
  <si>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</si>
  <si>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</si>
  <si>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</si>
  <si>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</si>
  <si>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</si>
  <si>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</si>
  <si>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</si>
  <si>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</si>
  <si>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</si>
  <si>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</si>
  <si>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</si>
  <si>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</si>
  <si>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</si>
  <si>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</si>
  <si>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</si>
  <si>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</si>
  <si>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</si>
  <si>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</si>
  <si>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</si>
  <si>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</si>
  <si>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</si>
  <si>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</si>
  <si>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</si>
  <si>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</si>
  <si>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</si>
  <si>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</si>
  <si>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</si>
  <si>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</si>
  <si>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</si>
  <si>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</si>
  <si>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</si>
  <si>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</si>
  <si>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</si>
  <si>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</si>
  <si>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</si>
  <si>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</si>
  <si>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</si>
  <si>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</si>
  <si>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</si>
  <si>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</si>
  <si>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</si>
  <si>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</si>
  <si>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</si>
  <si>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</si>
  <si>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</si>
  <si>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</si>
  <si>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</si>
  <si>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</si>
  <si>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</si>
  <si>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</si>
  <si>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</si>
  <si>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</si>
  <si>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</si>
  <si>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</si>
  <si>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</si>
  <si>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</si>
  <si>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</si>
  <si>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</si>
  <si>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</si>
  <si>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</si>
  <si>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</si>
  <si>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</si>
  <si>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</si>
  <si>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</si>
  <si>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</si>
  <si>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</si>
  <si>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</si>
  <si>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</si>
  <si>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</si>
  <si>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</si>
  <si>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</si>
  <si>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</si>
  <si>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</si>
  <si>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</si>
  <si>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</si>
  <si>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</si>
  <si>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</si>
  <si>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</si>
  <si>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</si>
  <si>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</si>
  <si>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</si>
  <si>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</si>
  <si>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</si>
  <si>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</si>
  <si>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</si>
  <si>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</si>
  <si>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</si>
  <si>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</si>
  <si>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</si>
  <si>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</si>
  <si>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</si>
  <si>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</si>
  <si>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</si>
  <si>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</si>
  <si>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</si>
  <si>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</si>
  <si>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</si>
  <si>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</si>
  <si>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</si>
  <si>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</si>
  <si>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</si>
  <si>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</si>
  <si>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</si>
  <si>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</si>
  <si>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</si>
  <si>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</si>
  <si>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</si>
  <si>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</si>
  <si>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</si>
  <si>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</si>
  <si>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</si>
  <si>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</si>
  <si>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</si>
  <si>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</si>
  <si>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</si>
  <si>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</si>
  <si>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</si>
  <si>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</si>
  <si>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</si>
  <si>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</si>
  <si>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</si>
  <si>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</si>
  <si>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</si>
  <si>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</si>
  <si>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</si>
  <si>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</si>
  <si>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</si>
  <si>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</si>
  <si>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</si>
  <si>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</si>
  <si>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</si>
  <si>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</si>
  <si>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</si>
  <si>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</si>
  <si>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</si>
  <si>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</si>
  <si>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</si>
  <si>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</si>
  <si>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</si>
  <si>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</si>
  <si>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</si>
  <si>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</si>
  <si>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</si>
  <si>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</si>
  <si>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</si>
  <si>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</si>
  <si>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</si>
  <si>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</si>
  <si>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</si>
  <si>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</si>
  <si>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</si>
  <si>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</si>
  <si>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</si>
  <si>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</si>
  <si>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</si>
  <si>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</si>
  <si>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</si>
  <si>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</si>
  <si>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</si>
  <si>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</si>
  <si>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</si>
  <si>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</si>
  <si>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</si>
  <si>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</si>
  <si>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</si>
  <si>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</si>
  <si>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</si>
  <si>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</si>
  <si>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</si>
  <si>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</si>
  <si>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</si>
  <si>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</si>
  <si>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</si>
  <si>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</si>
  <si>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</si>
  <si>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</si>
  <si>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</si>
  <si>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</si>
  <si>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</si>
  <si>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</si>
  <si>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</si>
  <si>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</si>
  <si>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</si>
  <si>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</si>
  <si>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</si>
  <si>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</si>
  <si>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</si>
  <si>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</si>
  <si>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</si>
  <si>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</si>
  <si>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</si>
  <si>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</si>
  <si>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</si>
  <si>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</si>
  <si>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</si>
  <si>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</si>
  <si>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</si>
  <si>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</si>
  <si>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</si>
  <si>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</si>
  <si>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</si>
  <si>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</si>
  <si>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</si>
  <si>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</si>
  <si>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</si>
  <si>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</si>
  <si>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</si>
  <si>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</si>
  <si>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</si>
  <si>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</si>
  <si>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</si>
  <si>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</si>
  <si>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</si>
  <si>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</si>
  <si>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</si>
  <si>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</si>
  <si>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</si>
  <si>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</si>
  <si>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</si>
  <si>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</si>
  <si>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</si>
  <si>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</si>
  <si>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</si>
  <si>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</si>
  <si>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</si>
  <si>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</si>
  <si>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</si>
  <si>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</si>
  <si>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</si>
  <si>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</si>
  <si>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</si>
  <si>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</si>
  <si>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</si>
  <si>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</si>
  <si>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</si>
  <si>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</si>
  <si>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</si>
  <si>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</si>
  <si>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</si>
  <si>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</si>
  <si>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</si>
  <si>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</si>
  <si>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</si>
  <si>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</si>
  <si>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</si>
  <si>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</si>
  <si>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</si>
  <si>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</si>
  <si>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</si>
  <si>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</si>
  <si>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</si>
  <si>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</si>
  <si>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</si>
  <si>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</si>
  <si>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</si>
  <si>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</si>
  <si>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</si>
  <si>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</si>
  <si>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</si>
  <si>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</si>
  <si>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</si>
  <si>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</si>
  <si>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</si>
  <si>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</si>
  <si>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</si>
  <si>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</si>
  <si>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</si>
  <si>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</si>
  <si>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</si>
  <si>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</si>
  <si>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</si>
  <si>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</si>
  <si>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</si>
  <si>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</si>
  <si>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</si>
  <si>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</si>
  <si>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</si>
  <si>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</si>
  <si>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</si>
  <si>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</si>
  <si>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</si>
  <si>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</si>
  <si>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</si>
  <si>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</si>
  <si>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</si>
  <si>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</si>
  <si>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</si>
  <si>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</si>
  <si>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</si>
  <si>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</si>
  <si>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</si>
  <si>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</si>
  <si>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</si>
  <si>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</si>
  <si>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</si>
  <si>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</si>
  <si>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</si>
  <si>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</si>
  <si>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</si>
  <si>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</si>
  <si>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</si>
  <si>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</si>
  <si>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</si>
  <si>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</si>
  <si>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</si>
  <si>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</si>
  <si>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</si>
  <si>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</si>
  <si>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</si>
  <si>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</si>
  <si>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</si>
  <si>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</si>
  <si>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</si>
  <si>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</si>
  <si>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</si>
  <si>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</si>
  <si>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</si>
  <si>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</si>
  <si>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</si>
  <si>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</si>
  <si>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</si>
  <si>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</si>
  <si>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</si>
  <si>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</si>
  <si>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</si>
  <si>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</si>
  <si>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</si>
  <si>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</si>
  <si>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</si>
  <si>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</si>
  <si>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</si>
  <si>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</si>
  <si>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</si>
  <si>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</si>
  <si>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</si>
  <si>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</si>
  <si>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</si>
  <si>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</si>
  <si>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</si>
  <si>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</si>
  <si>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</si>
  <si>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</si>
  <si>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</si>
  <si>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</si>
  <si>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</si>
  <si>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</si>
  <si>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</si>
  <si>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</si>
  <si>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</si>
  <si>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</si>
  <si>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</si>
  <si>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</si>
  <si>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</si>
  <si>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</si>
  <si>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</si>
  <si>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</si>
  <si>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</si>
  <si>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</si>
  <si>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</si>
  <si>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</si>
  <si>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</si>
  <si>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</si>
  <si>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</si>
  <si>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</si>
  <si>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</si>
  <si>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</si>
  <si>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</si>
  <si>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</si>
  <si>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</si>
  <si>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</si>
  <si>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</si>
  <si>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</si>
  <si>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</si>
  <si>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</si>
  <si>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</si>
  <si>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</si>
  <si>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</si>
  <si>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</si>
  <si>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</si>
  <si>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</si>
  <si>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</si>
  <si>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</si>
  <si>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</si>
  <si>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</si>
  <si>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</si>
  <si>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</si>
  <si>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</si>
  <si>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</si>
  <si>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</si>
  <si>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</si>
  <si>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</si>
  <si>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</si>
  <si>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</si>
  <si>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</si>
  <si>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</si>
  <si>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</si>
  <si>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</si>
  <si>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</si>
  <si>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</si>
  <si>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</si>
  <si>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</si>
  <si>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</si>
  <si>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</si>
  <si>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</si>
  <si>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</si>
  <si>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</si>
  <si>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</si>
  <si>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</si>
  <si>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</si>
  <si>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</si>
  <si>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</si>
  <si>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</si>
  <si>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</si>
  <si>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</si>
  <si>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</si>
  <si>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</si>
  <si>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</si>
  <si>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</si>
  <si>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</si>
  <si>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</si>
  <si>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</si>
  <si>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</si>
  <si>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</si>
  <si>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</si>
  <si>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</si>
  <si>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</si>
  <si>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</si>
  <si>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</si>
  <si>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</si>
  <si>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</si>
  <si>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</si>
  <si>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</si>
  <si>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</si>
  <si>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</si>
  <si>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</si>
  <si>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</si>
  <si>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</si>
  <si>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</si>
  <si>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</si>
  <si>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</si>
  <si>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</si>
  <si>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</si>
  <si>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</si>
  <si>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</si>
  <si>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</si>
  <si>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</si>
  <si>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</si>
  <si>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</si>
  <si>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</si>
  <si>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</si>
  <si>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</si>
  <si>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</si>
  <si>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</si>
  <si>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</si>
  <si>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</si>
  <si>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</si>
  <si>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</si>
  <si>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</si>
  <si>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</si>
  <si>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</si>
  <si>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</si>
  <si>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</si>
  <si>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</si>
  <si>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</si>
  <si>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</si>
  <si>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</si>
  <si>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</si>
  <si>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</si>
  <si>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</si>
  <si>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</si>
  <si>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</si>
  <si>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</si>
  <si>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</si>
  <si>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</si>
  <si>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</si>
  <si>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</si>
  <si>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</si>
  <si>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</si>
  <si>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</si>
  <si>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</si>
  <si>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</si>
  <si>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</si>
  <si>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</si>
  <si>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</si>
  <si>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</si>
  <si>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</si>
  <si>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</si>
  <si>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</si>
  <si>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</si>
  <si>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</si>
  <si>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</si>
  <si>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</si>
  <si>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</si>
  <si>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</si>
  <si>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</si>
  <si>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</si>
  <si>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</si>
  <si>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</si>
  <si>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</si>
  <si>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</si>
  <si>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</si>
  <si>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</si>
  <si>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</si>
  <si>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</si>
  <si>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</si>
  <si>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</si>
  <si>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</si>
  <si>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</si>
  <si>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</si>
  <si>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</si>
  <si>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</si>
  <si>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</si>
  <si>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</si>
  <si>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</si>
  <si>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</si>
  <si>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</si>
  <si>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</si>
  <si>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</si>
  <si>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</si>
  <si>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</si>
  <si>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</si>
  <si>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</si>
  <si>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</si>
  <si>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</si>
  <si>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</si>
  <si>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</si>
  <si>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</si>
  <si>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</si>
  <si>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</si>
  <si>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</si>
  <si>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</si>
  <si>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</si>
  <si>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</si>
  <si>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</si>
  <si>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</si>
  <si>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</si>
  <si>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</si>
  <si>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</si>
  <si>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</si>
  <si>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</si>
  <si>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</si>
  <si>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</si>
  <si>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</si>
  <si>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</si>
  <si>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</si>
  <si>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</si>
  <si>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</si>
  <si>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</si>
  <si>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</si>
  <si>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</si>
  <si>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</si>
  <si>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</si>
  <si>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</si>
  <si>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</si>
  <si>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</si>
  <si>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</si>
  <si>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</si>
  <si>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</si>
  <si>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</si>
  <si>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</si>
  <si>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</si>
  <si>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</si>
  <si>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</si>
  <si>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</si>
  <si>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</si>
  <si>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</si>
  <si>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</si>
  <si>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</si>
  <si>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</si>
  <si>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</si>
  <si>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</si>
  <si>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</si>
  <si>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</si>
  <si>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</si>
  <si>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</si>
  <si>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</si>
  <si>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</si>
  <si>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</si>
  <si>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</si>
  <si>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</si>
  <si>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</si>
  <si>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</si>
  <si>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</si>
  <si>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</si>
  <si>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</si>
  <si>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</si>
  <si>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</si>
  <si>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</si>
  <si>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</si>
  <si>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</si>
  <si>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</si>
  <si>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</si>
  <si>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</si>
  <si>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</si>
  <si>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</si>
  <si>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</si>
  <si>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</si>
  <si>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</si>
  <si>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</si>
  <si>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</si>
  <si>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</si>
  <si>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</si>
  <si>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</si>
  <si>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</si>
  <si>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</si>
  <si>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</si>
  <si>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</si>
  <si>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</si>
  <si>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</si>
  <si>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</si>
  <si>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</si>
  <si>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</si>
  <si>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</si>
  <si>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</si>
  <si>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</si>
  <si>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</si>
  <si>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</si>
  <si>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</si>
  <si>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</si>
  <si>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</si>
  <si>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</si>
  <si>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</si>
  <si>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</si>
  <si>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</si>
  <si>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</si>
  <si>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</si>
  <si>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</si>
  <si>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</si>
  <si>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</si>
  <si>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</si>
  <si>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</si>
  <si>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</si>
  <si>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</si>
  <si>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</si>
  <si>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</si>
  <si>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</si>
  <si>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</si>
  <si>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</si>
  <si>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</si>
  <si>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</si>
  <si>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</si>
  <si>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</si>
  <si>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</si>
  <si>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</si>
  <si>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</si>
  <si>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</si>
  <si>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</si>
  <si>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</si>
  <si>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</si>
  <si>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</si>
  <si>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</si>
  <si>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</si>
  <si>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</si>
  <si>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</si>
  <si>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</si>
  <si>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</si>
  <si>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</si>
  <si>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</si>
  <si>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</si>
  <si>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</si>
  <si>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</si>
  <si>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</si>
  <si>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</si>
  <si>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</si>
  <si>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</si>
  <si>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</si>
  <si>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</si>
  <si>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</si>
  <si>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</si>
  <si>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</si>
  <si>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</si>
  <si>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</si>
  <si>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</si>
  <si>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</si>
  <si>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</si>
  <si>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</si>
  <si>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</si>
  <si>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</si>
  <si>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</si>
  <si>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</si>
  <si>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</si>
  <si>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</si>
  <si>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</si>
  <si>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</si>
  <si>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</si>
  <si>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</si>
  <si>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</si>
  <si>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</si>
  <si>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</si>
  <si>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</si>
  <si>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</si>
  <si>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</si>
  <si>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</si>
  <si>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</si>
  <si>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</si>
  <si>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</si>
  <si>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</si>
  <si>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</si>
  <si>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</si>
  <si>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</si>
  <si>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</si>
  <si>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</si>
  <si>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</si>
  <si>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</si>
  <si>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</si>
  <si>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</si>
  <si>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</si>
  <si>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</si>
  <si>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</si>
  <si>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</si>
  <si>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</si>
  <si>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</si>
  <si>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</si>
  <si>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</si>
  <si>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</si>
  <si>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</si>
  <si>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</si>
  <si>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</si>
  <si>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</si>
  <si>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</si>
  <si>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</si>
  <si>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</si>
  <si>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</si>
  <si>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</si>
  <si>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</si>
  <si>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</si>
  <si>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</si>
  <si>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</si>
  <si>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</si>
  <si>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</si>
  <si>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</si>
  <si>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</si>
  <si>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</si>
  <si>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</si>
  <si>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</si>
  <si>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</si>
  <si>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</si>
  <si>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</si>
  <si>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</si>
  <si>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</si>
  <si>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</si>
  <si>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</si>
  <si>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</si>
  <si>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</si>
  <si>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</si>
  <si>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</si>
  <si>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</si>
  <si>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</si>
  <si>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</si>
  <si>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</si>
  <si>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</si>
  <si>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</si>
  <si>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</si>
  <si>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</si>
  <si>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</si>
  <si>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</si>
  <si>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</si>
  <si>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</si>
  <si>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</si>
  <si>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</si>
  <si>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</si>
  <si>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</si>
  <si>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</si>
  <si>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</si>
  <si>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</si>
  <si>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</si>
  <si>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</si>
  <si>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</si>
  <si>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</si>
  <si>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</si>
  <si>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</si>
  <si>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</si>
  <si>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</si>
  <si>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</si>
  <si>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</si>
  <si>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</si>
  <si>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</si>
  <si>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</si>
  <si>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</si>
  <si>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</si>
  <si>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</si>
  <si>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</si>
  <si>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</si>
  <si>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</si>
  <si>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</si>
  <si>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</si>
  <si>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</si>
  <si>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</si>
  <si>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</si>
  <si>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</si>
  <si>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</si>
  <si>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</si>
  <si>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</si>
  <si>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</si>
  <si>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</si>
  <si>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</si>
  <si>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</si>
  <si>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</si>
  <si>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</si>
  <si>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</si>
  <si>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</si>
  <si>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</si>
  <si>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</si>
  <si>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</si>
  <si>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</si>
  <si>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</si>
  <si>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</si>
  <si>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</si>
  <si>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</si>
  <si>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</si>
  <si>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</si>
  <si>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</si>
  <si>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</si>
  <si>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</si>
  <si>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</si>
  <si>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</si>
  <si>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</si>
  <si>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</si>
  <si>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</si>
  <si>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</si>
  <si>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</si>
  <si>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</si>
  <si>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</si>
  <si>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</si>
  <si>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</si>
  <si>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</si>
  <si>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</si>
  <si>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</si>
  <si>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</si>
  <si>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</si>
  <si>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</si>
  <si>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</si>
  <si>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</si>
  <si>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</si>
  <si>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</si>
  <si>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</si>
  <si>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</si>
  <si>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</si>
  <si>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</si>
  <si>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</si>
  <si>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</si>
  <si>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</si>
  <si>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</si>
  <si>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</si>
  <si>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</si>
  <si>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</si>
  <si>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</si>
  <si>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</si>
  <si>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</si>
  <si>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</si>
  <si>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</si>
  <si>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</si>
  <si>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</si>
  <si>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</si>
  <si>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</si>
  <si>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</si>
  <si>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</si>
  <si>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</si>
  <si>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</si>
  <si>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</si>
  <si>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</si>
  <si>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</si>
  <si>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</si>
  <si>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</si>
  <si>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</si>
  <si>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</si>
  <si>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</si>
  <si>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</si>
  <si>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</si>
  <si>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</si>
  <si>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</si>
  <si>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</si>
  <si>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</si>
  <si>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</si>
  <si>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</si>
  <si>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</si>
  <si>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</si>
  <si>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</si>
  <si>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</si>
  <si>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</si>
  <si>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</si>
  <si>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</si>
  <si>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</si>
  <si>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</si>
  <si>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</si>
  <si>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</si>
  <si>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</si>
  <si>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</si>
  <si>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</si>
  <si>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</si>
  <si>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</si>
  <si>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</si>
  <si>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</si>
  <si>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</si>
  <si>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</si>
  <si>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</si>
  <si>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</si>
  <si>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</si>
  <si>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</si>
  <si>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</si>
  <si>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</si>
  <si>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</si>
  <si>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</si>
  <si>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</si>
  <si>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</si>
  <si>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</si>
  <si>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</si>
  <si>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</si>
  <si>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</si>
  <si>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</si>
  <si>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</si>
  <si>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</si>
  <si>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</si>
  <si>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</si>
  <si>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</si>
  <si>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</si>
  <si>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</si>
  <si>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</si>
  <si>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</si>
  <si>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</si>
  <si>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</si>
  <si>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</si>
  <si>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</si>
  <si>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</si>
  <si>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</si>
  <si>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</si>
  <si>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</si>
  <si>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</si>
  <si>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</si>
  <si>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</si>
  <si>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</si>
  <si>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</si>
  <si>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</si>
  <si>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</si>
  <si>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</si>
  <si>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</si>
  <si>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</si>
  <si>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</si>
  <si>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</si>
  <si>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</si>
  <si>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</si>
  <si>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</si>
  <si>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</si>
  <si>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</si>
  <si>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</si>
  <si>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</si>
  <si>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</si>
  <si>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</si>
  <si>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</si>
  <si>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</si>
  <si>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</si>
  <si>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</si>
  <si>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</si>
  <si>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</si>
  <si>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</si>
  <si>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</si>
  <si>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</si>
  <si>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</si>
  <si>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</si>
  <si>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</si>
  <si>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</si>
  <si>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</si>
  <si>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</si>
  <si>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</si>
  <si>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</si>
  <si>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</si>
  <si>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</si>
  <si>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</si>
  <si>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</si>
  <si>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</si>
  <si>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</si>
  <si>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</si>
  <si>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</si>
  <si>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</si>
  <si>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</si>
  <si>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</si>
  <si>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</si>
  <si>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</si>
  <si>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</si>
  <si>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</si>
  <si>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</si>
  <si>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</si>
  <si>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</si>
  <si>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</si>
  <si>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</si>
  <si>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</si>
  <si>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</si>
  <si>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</si>
  <si>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</si>
  <si>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</si>
  <si>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</si>
  <si>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</si>
  <si>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</si>
  <si>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</si>
  <si>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</si>
  <si>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</si>
  <si>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</si>
  <si>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</si>
  <si>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</si>
  <si>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</si>
  <si>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</si>
  <si>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</si>
  <si>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</si>
  <si>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</si>
  <si>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</si>
  <si>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</si>
  <si>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</si>
  <si>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</si>
  <si>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</si>
  <si>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</si>
  <si>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</si>
  <si>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</si>
  <si>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</si>
  <si>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</si>
  <si>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</si>
  <si>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</si>
  <si>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</si>
  <si>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</si>
  <si>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</si>
  <si>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</si>
  <si>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</si>
  <si>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</si>
  <si>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</si>
  <si>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</si>
  <si>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</si>
  <si>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</si>
  <si>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</si>
  <si>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</si>
  <si>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</si>
  <si>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</si>
  <si>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</si>
  <si>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</si>
  <si>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</si>
  <si>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</si>
  <si>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</si>
  <si>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</si>
  <si>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</si>
  <si>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</si>
  <si>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</si>
  <si>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</si>
  <si>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</si>
  <si>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</si>
  <si>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</si>
  <si>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</si>
  <si>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</si>
  <si>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</si>
  <si>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</si>
  <si>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</si>
  <si>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</si>
  <si>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</si>
  <si>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</si>
  <si>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</si>
  <si>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</si>
  <si>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</si>
  <si>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</si>
  <si>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</si>
  <si>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</si>
  <si>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</si>
  <si>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</si>
  <si>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</si>
  <si>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</si>
  <si>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</si>
  <si>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</si>
  <si>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</si>
  <si>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</si>
  <si>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</si>
  <si>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</si>
  <si>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</si>
  <si>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</si>
  <si>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</si>
  <si>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</si>
  <si>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</si>
  <si>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</si>
  <si>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</si>
  <si>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</si>
  <si>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</si>
  <si>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</si>
  <si>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</si>
  <si>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</si>
  <si>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</si>
  <si>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</si>
  <si>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</si>
  <si>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</si>
  <si>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</si>
  <si>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</si>
  <si>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</si>
  <si>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</si>
  <si>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</si>
  <si>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</si>
  <si>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</si>
  <si>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</si>
  <si>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</si>
  <si>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</si>
  <si>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</si>
  <si>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</si>
  <si>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</si>
  <si>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</si>
  <si>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</si>
  <si>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</si>
  <si>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</si>
  <si>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</si>
  <si>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</si>
  <si>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</si>
  <si>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</si>
  <si>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</si>
  <si>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</si>
  <si>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</si>
  <si>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</si>
  <si>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</si>
  <si>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</si>
  <si>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</si>
  <si>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</si>
  <si>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</si>
  <si>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</si>
  <si>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</si>
  <si>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</si>
  <si>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</si>
  <si>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</si>
  <si>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</si>
  <si>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</si>
  <si>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</si>
  <si>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</si>
  <si>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</si>
  <si>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</si>
  <si>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</si>
  <si>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</si>
  <si>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</si>
  <si>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</si>
  <si>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</si>
  <si>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</si>
  <si>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</si>
  <si>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</si>
  <si>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</si>
  <si>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</si>
  <si>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</si>
  <si>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</si>
  <si>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</si>
  <si>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</si>
  <si>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</si>
  <si>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</si>
  <si>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</si>
  <si>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</si>
  <si>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</si>
  <si>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</si>
  <si>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</si>
  <si>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</si>
  <si>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</si>
  <si>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</si>
  <si>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</si>
  <si>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</si>
  <si>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</si>
  <si>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</si>
  <si>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</si>
  <si>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</si>
  <si>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</si>
  <si>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</si>
  <si>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</si>
  <si>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</si>
  <si>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</si>
  <si>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</si>
  <si>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</si>
  <si>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</si>
  <si>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</si>
  <si>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</si>
  <si>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</si>
  <si>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</si>
  <si>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</si>
  <si>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</si>
  <si>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</si>
  <si>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</si>
  <si>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</si>
  <si>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</si>
  <si>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</si>
  <si>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</si>
  <si>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</si>
  <si>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</si>
  <si>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</si>
  <si>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</si>
  <si>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</si>
  <si>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</si>
  <si>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</si>
  <si>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</si>
  <si>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</si>
  <si>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</si>
  <si>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</si>
  <si>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</si>
  <si>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</si>
  <si>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</si>
  <si>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</si>
  <si>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</si>
  <si>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</si>
  <si>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</si>
  <si>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</si>
  <si>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</si>
  <si>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</si>
  <si>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</si>
  <si>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</si>
  <si>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</si>
  <si>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</si>
  <si>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</si>
  <si>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</si>
  <si>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</si>
  <si>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</si>
  <si>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</si>
  <si>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</si>
  <si>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</si>
  <si>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</si>
  <si>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</si>
  <si>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</si>
  <si>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</si>
  <si>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</si>
  <si>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</si>
  <si>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</si>
  <si>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</si>
  <si>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</si>
  <si>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</si>
  <si>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</si>
  <si>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</si>
  <si>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</si>
  <si>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</si>
  <si>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</si>
  <si>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</si>
  <si>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</si>
  <si>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</si>
  <si>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</si>
  <si>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</si>
  <si>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</si>
  <si>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</si>
  <si>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</si>
  <si>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</si>
  <si>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</si>
  <si>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</si>
  <si>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</si>
  <si>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</si>
  <si>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</si>
  <si>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</si>
  <si>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</si>
  <si>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</si>
  <si>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</si>
  <si>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</si>
  <si>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</si>
  <si>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</si>
  <si>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</si>
  <si>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</si>
  <si>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</si>
  <si>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</si>
  <si>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</si>
  <si>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</si>
  <si>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</si>
  <si>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</si>
  <si>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</si>
  <si>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</si>
  <si>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</si>
  <si>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</si>
  <si>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</si>
  <si>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</si>
  <si>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</si>
  <si>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</si>
  <si>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</si>
  <si>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</si>
  <si>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</si>
  <si>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</si>
  <si>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</si>
  <si>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</si>
  <si>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</si>
  <si>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</si>
  <si>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</si>
  <si>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</si>
  <si>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</si>
  <si>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</si>
  <si>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</si>
  <si>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</si>
  <si>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</si>
  <si>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</si>
  <si>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</si>
  <si>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</si>
  <si>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</si>
  <si>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</si>
  <si>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</si>
  <si>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</si>
  <si>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</si>
  <si>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</si>
  <si>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</si>
  <si>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</si>
  <si>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</si>
  <si>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</si>
  <si>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</si>
  <si>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</si>
  <si>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</si>
  <si>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</si>
  <si>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</si>
  <si>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</si>
  <si>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</si>
  <si>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</si>
  <si>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</si>
  <si>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</si>
  <si>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</si>
  <si>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</si>
  <si>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</si>
  <si>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</si>
  <si>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</si>
  <si>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</si>
  <si>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</si>
  <si>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</si>
  <si>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</si>
  <si>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</si>
  <si>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</si>
  <si>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</si>
  <si>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</si>
  <si>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</si>
  <si>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</si>
  <si>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</si>
  <si>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</si>
  <si>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</si>
  <si>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</si>
  <si>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</si>
  <si>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</si>
  <si>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</si>
  <si>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</si>
  <si>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</si>
  <si>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</si>
  <si>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</si>
  <si>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</si>
  <si>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</si>
  <si>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</si>
  <si>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</si>
  <si>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</si>
  <si>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</si>
  <si>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</si>
  <si>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</si>
  <si>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</si>
  <si>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</si>
  <si>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</si>
  <si>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</si>
  <si>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</si>
  <si>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</si>
  <si>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</si>
  <si>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</si>
  <si>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</si>
  <si>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</si>
  <si>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</si>
  <si>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</si>
  <si>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</si>
  <si>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</si>
  <si>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</si>
  <si>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</si>
  <si>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</si>
  <si>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</si>
  <si>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</si>
  <si>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</si>
  <si>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</si>
  <si>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</si>
  <si>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</si>
  <si>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</si>
  <si>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</si>
  <si>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</si>
  <si>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</si>
  <si>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</si>
  <si>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</si>
  <si>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</si>
  <si>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</si>
  <si>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</si>
  <si>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</si>
  <si>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</si>
  <si>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</si>
  <si>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</si>
  <si>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</si>
  <si>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</si>
  <si>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</si>
  <si>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</si>
  <si>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</si>
  <si>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</si>
  <si>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</si>
  <si>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</si>
  <si>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</si>
  <si>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</si>
  <si>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</si>
  <si>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</si>
  <si>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</si>
  <si>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</si>
  <si>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</si>
  <si>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</si>
  <si>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</si>
  <si>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</si>
  <si>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</si>
  <si>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</si>
  <si>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</si>
  <si>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</si>
  <si>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</si>
  <si>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</si>
  <si>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</si>
  <si>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</si>
  <si>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</si>
  <si>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</si>
  <si>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</si>
  <si>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</si>
  <si>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</si>
  <si>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</si>
  <si>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</si>
  <si>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</si>
  <si>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</si>
  <si>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</si>
  <si>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</si>
  <si>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</si>
  <si>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</si>
  <si>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</si>
  <si>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</si>
  <si>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</si>
  <si>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</si>
  <si>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</si>
  <si>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</si>
  <si>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</si>
  <si>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</si>
  <si>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</si>
  <si>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</si>
  <si>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</si>
  <si>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</si>
  <si>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</si>
  <si>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</si>
  <si>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</si>
  <si>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</si>
  <si>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</si>
  <si>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</si>
  <si>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</si>
  <si>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</si>
  <si>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</si>
  <si>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</si>
  <si>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</si>
  <si>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</si>
  <si>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</si>
  <si>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</si>
  <si>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</si>
  <si>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</si>
  <si>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</si>
  <si>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</si>
  <si>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</si>
  <si>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</si>
  <si>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</si>
  <si>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</si>
  <si>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</si>
  <si>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</si>
  <si>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</si>
  <si>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</si>
  <si>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</si>
  <si>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</si>
  <si>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</si>
  <si>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</si>
  <si>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</si>
  <si>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</si>
  <si>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</si>
  <si>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</si>
  <si>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</si>
  <si>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</si>
  <si>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</si>
  <si>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</si>
  <si>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</si>
  <si>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</si>
  <si>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</si>
  <si>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</si>
  <si>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</si>
  <si>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</si>
  <si>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</si>
  <si>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</si>
  <si>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</si>
  <si>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</si>
  <si>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</si>
  <si>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</si>
  <si>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</si>
  <si>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</si>
  <si>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</si>
  <si>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</si>
  <si>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</si>
  <si>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</si>
  <si>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</si>
  <si>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</si>
  <si>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</si>
  <si>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</si>
  <si>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</si>
  <si>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</si>
  <si>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</si>
  <si>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</si>
  <si>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</si>
  <si>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</si>
  <si>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</si>
  <si>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</si>
  <si>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</si>
  <si>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</si>
  <si>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</si>
  <si>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</si>
  <si>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</si>
  <si>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</si>
  <si>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</si>
  <si>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</si>
  <si>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</si>
  <si>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</si>
  <si>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</si>
  <si>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</si>
  <si>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</si>
  <si>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</si>
  <si>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</si>
  <si>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</si>
  <si>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</si>
  <si>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</si>
  <si>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</si>
  <si>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</si>
  <si>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</si>
  <si>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</si>
  <si>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</si>
  <si>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</si>
  <si>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</si>
  <si>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</si>
  <si>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</si>
  <si>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</si>
  <si>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</si>
  <si>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</si>
  <si>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</si>
  <si>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</si>
  <si>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</si>
  <si>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</si>
  <si>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</si>
  <si>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</si>
  <si>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</si>
  <si>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</si>
  <si>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</si>
  <si>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</si>
  <si>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</si>
  <si>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</si>
  <si>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</si>
  <si>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</si>
  <si>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</si>
  <si>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</si>
  <si>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</si>
  <si>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</si>
  <si>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</si>
  <si>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</si>
  <si>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</si>
  <si>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</si>
  <si>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</si>
  <si>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</si>
  <si>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</si>
  <si>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</si>
  <si>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</si>
  <si>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</si>
  <si>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</si>
  <si>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</si>
  <si>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</si>
  <si>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</si>
  <si>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</si>
  <si>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</si>
  <si>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</si>
  <si>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</si>
  <si>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</si>
  <si>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</si>
  <si>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</si>
  <si>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</si>
  <si>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</si>
  <si>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</si>
  <si>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</si>
  <si>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</si>
  <si>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</si>
  <si>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</si>
  <si>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</si>
  <si>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</si>
  <si>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</si>
  <si>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</si>
  <si>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</si>
  <si>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</si>
  <si>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</si>
  <si>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</si>
  <si>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</si>
  <si>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</si>
  <si>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</si>
  <si>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</si>
  <si>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</si>
  <si>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</si>
  <si>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</si>
  <si>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</si>
  <si>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</si>
  <si>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</si>
  <si>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</si>
  <si>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</si>
  <si>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</si>
  <si>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</si>
  <si>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</si>
  <si>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</si>
  <si>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</si>
  <si>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</si>
  <si>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</si>
  <si>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</si>
  <si>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</si>
  <si>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</si>
  <si>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</si>
  <si>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</si>
  <si>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</si>
  <si>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</si>
  <si>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</si>
  <si>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</si>
  <si>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</si>
  <si>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</si>
  <si>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</si>
  <si>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</si>
  <si>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</si>
  <si>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</si>
  <si>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</si>
  <si>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</si>
  <si>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</si>
  <si>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</si>
  <si>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</si>
  <si>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</si>
  <si>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</si>
  <si>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</si>
  <si>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</si>
  <si>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</si>
  <si>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</si>
  <si>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</si>
  <si>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</si>
  <si>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</si>
  <si>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</si>
  <si>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</si>
  <si>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</si>
  <si>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</si>
  <si>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</si>
  <si>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</si>
  <si>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</si>
  <si>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</si>
  <si>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</si>
  <si>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</si>
  <si>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</si>
  <si>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</si>
  <si>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</si>
  <si>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</si>
  <si>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</si>
  <si>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</si>
  <si>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</si>
  <si>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</si>
  <si>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</si>
  <si>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</si>
  <si>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</si>
  <si>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</si>
  <si>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</si>
  <si>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</si>
  <si>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</si>
  <si>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</si>
  <si>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</si>
  <si>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</si>
  <si>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</si>
  <si>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</si>
  <si>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</si>
  <si>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</si>
  <si>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</si>
  <si>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</si>
  <si>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</si>
  <si>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</si>
  <si>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</si>
  <si>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</si>
  <si>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</si>
  <si>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</si>
  <si>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</si>
  <si>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</si>
  <si>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</si>
  <si>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</si>
  <si>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</si>
  <si>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</si>
  <si>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</si>
  <si>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</si>
  <si>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</si>
  <si>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</si>
  <si>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</si>
  <si>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</si>
  <si>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</si>
  <si>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</si>
  <si>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</si>
  <si>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</si>
  <si>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</si>
  <si>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</si>
  <si>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</si>
  <si>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</si>
  <si>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</si>
  <si>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</si>
  <si>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</si>
  <si>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</si>
  <si>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</si>
  <si>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</si>
  <si>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</si>
  <si>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</si>
  <si>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</si>
  <si>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</si>
  <si>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</si>
  <si>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</si>
  <si>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</si>
  <si>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</si>
  <si>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</si>
  <si>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</si>
  <si>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</si>
  <si>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</si>
  <si>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</si>
  <si>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</si>
  <si>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</si>
  <si>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</si>
  <si>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</si>
  <si>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</si>
  <si>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</si>
  <si>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</si>
  <si>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</si>
  <si>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</si>
  <si>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</si>
  <si>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</si>
  <si>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</si>
  <si>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</si>
  <si>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</si>
  <si>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</si>
  <si>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</si>
  <si>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</si>
  <si>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</si>
  <si>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</si>
  <si>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</si>
  <si>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</si>
  <si>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</si>
  <si>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</si>
  <si>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</si>
  <si>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</si>
  <si>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</si>
  <si>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</si>
  <si>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</si>
  <si>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</si>
  <si>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</si>
  <si>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</si>
  <si>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</si>
  <si>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</si>
  <si>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</si>
  <si>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</si>
  <si>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</si>
  <si>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</si>
  <si>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</si>
  <si>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</si>
  <si>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</si>
  <si>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</si>
  <si>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</si>
  <si>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</si>
  <si>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</si>
  <si>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</si>
  <si>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</si>
  <si>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</si>
  <si>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</si>
  <si>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</si>
  <si>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</si>
  <si>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</si>
  <si>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</si>
  <si>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</si>
  <si>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</si>
  <si>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</si>
  <si>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</si>
  <si>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</si>
  <si>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</si>
  <si>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</si>
  <si>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</si>
  <si>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</si>
  <si>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</si>
  <si>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</si>
  <si>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</si>
  <si>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</si>
  <si>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</si>
  <si>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</si>
  <si>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</si>
  <si>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</si>
  <si>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</si>
  <si>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</si>
  <si>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</si>
  <si>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</si>
  <si>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</si>
  <si>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</si>
  <si>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</si>
  <si>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</si>
  <si>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</si>
  <si>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</si>
  <si>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</si>
  <si>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</si>
  <si>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</si>
  <si>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</si>
  <si>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</si>
  <si>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</si>
  <si>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</si>
  <si>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</si>
  <si>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</si>
  <si>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</si>
  <si>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</si>
  <si>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</si>
  <si>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</si>
  <si>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</si>
  <si>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</si>
  <si>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</si>
  <si>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</si>
  <si>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</si>
  <si>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</si>
  <si>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</si>
  <si>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</si>
  <si>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</si>
  <si>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</si>
  <si>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</si>
  <si>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</si>
  <si>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</si>
  <si>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</si>
  <si>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</si>
  <si>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</si>
  <si>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</si>
  <si>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</si>
  <si>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</si>
  <si>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</si>
  <si>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</si>
  <si>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</si>
  <si>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</si>
  <si>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</si>
  <si>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</si>
  <si>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</si>
  <si>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</si>
  <si>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</si>
  <si>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</si>
  <si>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</si>
  <si>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</si>
  <si>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</si>
  <si>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</si>
  <si>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</si>
  <si>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</si>
  <si>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</si>
  <si>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</si>
  <si>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</si>
  <si>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</si>
  <si>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</si>
  <si>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</si>
  <si>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</si>
  <si>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</si>
  <si>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</si>
  <si>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</si>
  <si>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</si>
  <si>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</si>
  <si>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</si>
  <si>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</si>
  <si>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</si>
  <si>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</si>
  <si>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</si>
  <si>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</si>
  <si>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</si>
  <si>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</si>
  <si>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</si>
  <si>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</si>
  <si>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</si>
  <si>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</si>
  <si>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</si>
  <si>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</si>
  <si>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</si>
  <si>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</si>
  <si>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</si>
  <si>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</si>
  <si>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</si>
  <si>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</si>
  <si>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</si>
  <si>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</si>
  <si>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</si>
  <si>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</si>
  <si>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</si>
  <si>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</si>
  <si>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</si>
  <si>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</si>
  <si>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</si>
  <si>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</si>
  <si>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</si>
  <si>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</si>
  <si>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</si>
  <si>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</si>
  <si>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</si>
  <si>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</si>
  <si>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</si>
  <si>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</si>
  <si>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</si>
  <si>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</si>
  <si>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</si>
  <si>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</si>
  <si>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</si>
  <si>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</si>
  <si>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</si>
  <si>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</si>
  <si>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</si>
  <si>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</si>
  <si>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</si>
  <si>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</si>
  <si>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</si>
  <si>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</si>
  <si>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</si>
  <si>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</si>
  <si>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</si>
  <si>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</si>
  <si>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</si>
  <si>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</si>
  <si>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</si>
  <si>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</si>
  <si>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</si>
  <si>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</si>
  <si>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</si>
  <si>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</si>
  <si>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</si>
  <si>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</si>
  <si>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</si>
  <si>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</si>
  <si>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</si>
  <si>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</si>
  <si>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</si>
  <si>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</si>
  <si>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</si>
  <si>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</si>
  <si>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</si>
  <si>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</si>
  <si>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</si>
  <si>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</si>
  <si>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</si>
  <si>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</si>
  <si>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</si>
  <si>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</si>
  <si>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</si>
  <si>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</si>
  <si>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</si>
  <si>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</si>
  <si>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</si>
  <si>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</si>
  <si>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</si>
  <si>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</si>
  <si>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</si>
  <si>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</si>
  <si>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</si>
  <si>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</si>
  <si>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</si>
  <si>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</si>
  <si>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</si>
  <si>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</si>
  <si>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</si>
  <si>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</si>
  <si>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</si>
  <si>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</si>
  <si>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</si>
  <si>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</si>
  <si>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</si>
  <si>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</si>
  <si>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</si>
  <si>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</si>
  <si>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</si>
  <si>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</si>
  <si>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</si>
  <si>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</si>
  <si>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</si>
  <si>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</si>
  <si>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</si>
  <si>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</si>
  <si>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</si>
  <si>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</si>
  <si>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</si>
  <si>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</si>
  <si>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</si>
  <si>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</si>
  <si>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</si>
  <si>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</si>
  <si>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</si>
  <si>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</si>
  <si>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</si>
  <si>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</si>
  <si>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</si>
  <si>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</si>
  <si>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</si>
  <si>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</si>
  <si>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</si>
  <si>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</si>
  <si>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</si>
  <si>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</si>
  <si>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</si>
  <si>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</si>
  <si>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</si>
  <si>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</si>
  <si>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</si>
  <si>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</si>
  <si>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</si>
  <si>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</si>
  <si>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</si>
  <si>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</si>
  <si>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</si>
  <si>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</si>
  <si>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</si>
  <si>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</si>
  <si>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</si>
  <si>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</si>
  <si>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</si>
  <si>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</si>
  <si>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</si>
  <si>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</si>
  <si>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</si>
  <si>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</si>
  <si>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</si>
  <si>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</si>
  <si>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</si>
  <si>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</si>
  <si>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</si>
  <si>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</si>
  <si>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</si>
  <si>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</si>
  <si>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</si>
  <si>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</si>
  <si>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</si>
  <si>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</si>
  <si>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</si>
  <si>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</si>
  <si>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</si>
  <si>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</si>
  <si>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</si>
  <si>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</si>
  <si>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</si>
  <si>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</si>
  <si>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</si>
  <si>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</si>
  <si>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</si>
  <si>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</si>
  <si>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</si>
  <si>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</si>
  <si>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</si>
  <si>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</si>
  <si>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</si>
  <si>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</si>
  <si>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</si>
  <si>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</si>
  <si>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</si>
  <si>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</si>
  <si>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</si>
  <si>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</si>
  <si>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</si>
  <si>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</si>
  <si>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</si>
  <si>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</si>
  <si>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</si>
  <si>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</si>
  <si>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</si>
  <si>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</si>
  <si>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</si>
  <si>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</si>
  <si>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</si>
  <si>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</si>
  <si>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</si>
  <si>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</si>
  <si>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</si>
  <si>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</si>
  <si>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</si>
  <si>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</si>
  <si>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</si>
  <si>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</si>
  <si>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</si>
  <si>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</si>
  <si>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</si>
  <si>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</si>
  <si>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</si>
  <si>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</si>
  <si>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</si>
  <si>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</si>
  <si>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</si>
  <si>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</si>
  <si>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</si>
  <si>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</si>
  <si>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</si>
  <si>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</si>
  <si>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</si>
  <si>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</si>
  <si>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</si>
  <si>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</si>
  <si>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</si>
  <si>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</si>
  <si>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</si>
  <si>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</si>
  <si>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</si>
  <si>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</si>
  <si>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</si>
  <si>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</si>
  <si>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</si>
  <si>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</si>
  <si>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</si>
  <si>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</si>
  <si>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</si>
  <si>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</si>
  <si>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</si>
  <si>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</si>
  <si>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</si>
  <si>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</si>
  <si>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</si>
  <si>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</si>
  <si>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</si>
  <si>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</si>
  <si>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</si>
  <si>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</si>
  <si>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</si>
  <si>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</si>
  <si>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</si>
  <si>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</si>
  <si>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</si>
  <si>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</si>
  <si>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</si>
  <si>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</si>
  <si>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</si>
  <si>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</si>
  <si>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</si>
  <si>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</si>
  <si>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</si>
  <si>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</si>
  <si>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</si>
  <si>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</si>
  <si>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</si>
  <si>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</si>
  <si>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</si>
  <si>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</si>
  <si>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</si>
  <si>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</si>
  <si>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</si>
  <si>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</si>
  <si>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</si>
  <si>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</si>
  <si>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</si>
  <si>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</si>
  <si>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</si>
  <si>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</si>
  <si>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</si>
  <si>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</si>
  <si>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</si>
  <si>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</si>
  <si>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</si>
  <si>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</si>
  <si>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</si>
  <si>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</si>
  <si>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</si>
  <si>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</si>
  <si>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</si>
  <si>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</si>
  <si>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</si>
  <si>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</si>
  <si>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</si>
  <si>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</si>
  <si>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</si>
  <si>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</si>
  <si>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</si>
  <si>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</si>
  <si>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</si>
  <si>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</si>
  <si>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</si>
  <si>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</si>
  <si>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</si>
  <si>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</si>
  <si>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</si>
  <si>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</si>
  <si>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</si>
  <si>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</si>
  <si>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</si>
  <si>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</si>
  <si>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</si>
  <si>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</si>
  <si>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</si>
  <si>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</si>
  <si>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</si>
  <si>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</si>
  <si>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</si>
  <si>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</si>
  <si>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</si>
  <si>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</si>
  <si>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</si>
  <si>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</si>
  <si>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</si>
  <si>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</si>
  <si>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</si>
  <si>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</si>
  <si>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</si>
  <si>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</si>
  <si>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</si>
  <si>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</si>
  <si>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</si>
  <si>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</si>
  <si>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</si>
  <si>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</si>
  <si>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</si>
  <si>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</si>
  <si>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</si>
  <si>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</si>
  <si>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</si>
  <si>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</si>
  <si>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</si>
  <si>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</si>
  <si>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</si>
  <si>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</si>
  <si>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</si>
  <si>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</si>
  <si>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</si>
  <si>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</si>
  <si>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</si>
  <si>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</si>
  <si>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</si>
  <si>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</si>
  <si>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</si>
  <si>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</si>
  <si>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</si>
  <si>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</si>
  <si>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</si>
  <si>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</si>
  <si>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</si>
  <si>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</si>
  <si>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</si>
  <si>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</si>
  <si>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</si>
  <si>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</si>
  <si>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</si>
  <si>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</si>
  <si>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</si>
  <si>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</si>
  <si>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</si>
  <si>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</si>
  <si>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</si>
  <si>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</si>
  <si>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</si>
  <si>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</si>
  <si>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</si>
  <si>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</si>
  <si>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</si>
  <si>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</si>
  <si>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</si>
  <si>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</si>
  <si>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</si>
  <si>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</si>
  <si>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</si>
  <si>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</si>
  <si>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</si>
  <si>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</si>
  <si>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</si>
  <si>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</si>
  <si>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</si>
  <si>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</si>
  <si>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</si>
  <si>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</si>
  <si>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</si>
  <si>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</si>
  <si>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</si>
  <si>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</si>
  <si>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</si>
  <si>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</si>
  <si>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</si>
  <si>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</si>
  <si>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</si>
  <si>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</si>
  <si>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</si>
  <si>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</si>
  <si>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</si>
  <si>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</si>
  <si>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</si>
  <si>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</si>
  <si>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</si>
  <si>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</si>
  <si>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</si>
  <si>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</si>
  <si>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</si>
  <si>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</si>
  <si>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</si>
  <si>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</si>
  <si>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</si>
  <si>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</si>
  <si>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</si>
  <si>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</si>
  <si>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</si>
  <si>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</si>
  <si>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</si>
  <si>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</si>
  <si>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</si>
  <si>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</si>
  <si>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</si>
  <si>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</si>
  <si>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</si>
  <si>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</si>
  <si>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</si>
  <si>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</si>
  <si>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</si>
  <si>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</si>
  <si>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</si>
  <si>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</si>
  <si>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</si>
  <si>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</si>
  <si>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</si>
  <si>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</si>
  <si>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</si>
  <si>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</si>
  <si>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</si>
  <si>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</si>
  <si>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</si>
  <si>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</si>
  <si>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</si>
  <si>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</si>
  <si>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</si>
  <si>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</si>
  <si>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</si>
  <si>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</si>
  <si>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</si>
  <si>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</si>
  <si>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</si>
  <si>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</si>
  <si>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</si>
  <si>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</si>
  <si>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</si>
  <si>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</si>
  <si>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</si>
  <si>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</si>
  <si>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</si>
  <si>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</si>
  <si>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</si>
  <si>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</si>
  <si>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</si>
  <si>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</si>
  <si>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</si>
  <si>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</si>
  <si>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</si>
  <si>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</si>
  <si>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</si>
  <si>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</si>
  <si>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</si>
  <si>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</si>
  <si>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</si>
  <si>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</si>
  <si>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</si>
  <si>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</si>
  <si>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</si>
  <si>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</si>
  <si>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</si>
  <si>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</si>
  <si>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</si>
  <si>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</si>
  <si>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</si>
  <si>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</si>
  <si>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</si>
  <si>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</si>
  <si>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</si>
  <si>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</si>
  <si>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</si>
  <si>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</si>
  <si>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</si>
  <si>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</si>
  <si>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</si>
  <si>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</si>
  <si>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</si>
  <si>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</si>
  <si>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</si>
  <si>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</si>
  <si>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</si>
  <si>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</si>
  <si>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</si>
  <si>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</si>
  <si>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</si>
  <si>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</si>
  <si>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</si>
  <si>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</si>
  <si>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</si>
  <si>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</si>
  <si>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</si>
  <si>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</si>
  <si>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</si>
  <si>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</si>
  <si>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</si>
  <si>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</si>
  <si>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</si>
  <si>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</si>
  <si>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</si>
  <si>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</si>
  <si>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</si>
  <si>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</si>
  <si>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</si>
  <si>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</si>
  <si>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</si>
  <si>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</si>
  <si>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</si>
  <si>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</si>
  <si>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</si>
  <si>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</si>
  <si>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</si>
  <si>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</si>
  <si>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</si>
  <si>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</si>
  <si>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</si>
  <si>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</si>
  <si>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</si>
  <si>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</si>
  <si>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</si>
  <si>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</si>
  <si>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</si>
  <si>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</si>
  <si>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</si>
  <si>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</si>
  <si>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</si>
  <si>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</si>
  <si>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</si>
  <si>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</si>
  <si>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</si>
  <si>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</si>
  <si>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</si>
  <si>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</si>
  <si>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</si>
  <si>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</si>
  <si>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</si>
  <si>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</si>
  <si>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</si>
  <si>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</si>
  <si>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</si>
  <si>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</si>
  <si>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</si>
  <si>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</si>
  <si>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</si>
  <si>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</si>
  <si>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</si>
  <si>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</si>
  <si>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</si>
  <si>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</si>
  <si>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</si>
  <si>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</si>
  <si>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</si>
  <si>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</si>
  <si>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</si>
  <si>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</si>
  <si>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</si>
  <si>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</si>
  <si>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</si>
  <si>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</si>
  <si>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</si>
  <si>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</si>
  <si>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</si>
  <si>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</si>
  <si>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</si>
  <si>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</si>
  <si>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</si>
  <si>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</si>
  <si>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</si>
  <si>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</si>
  <si>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</si>
  <si>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</si>
  <si>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</si>
  <si>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</si>
  <si>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</si>
  <si>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</si>
  <si>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</si>
  <si>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</si>
  <si>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</si>
  <si>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</si>
  <si>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</si>
  <si>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</si>
  <si>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</si>
  <si>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</si>
  <si>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</si>
  <si>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</si>
  <si>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</si>
  <si>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</si>
  <si>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</si>
  <si>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</si>
  <si>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</si>
  <si>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</si>
  <si>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</si>
  <si>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</si>
  <si>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</si>
  <si>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</si>
  <si>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</si>
  <si>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</si>
  <si>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</si>
  <si>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</si>
  <si>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</si>
  <si>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</si>
  <si>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</si>
  <si>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</si>
  <si>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</si>
  <si>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</si>
  <si>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</si>
  <si>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</si>
  <si>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</si>
  <si>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</si>
  <si>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</si>
  <si>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</si>
  <si>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</si>
  <si>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</si>
  <si>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</si>
  <si>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</si>
  <si>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</si>
  <si>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</si>
  <si>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</si>
  <si>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</si>
  <si>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</si>
  <si>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</si>
  <si>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</si>
  <si>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</si>
  <si>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</si>
  <si>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</si>
  <si>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</si>
  <si>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</si>
  <si>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</si>
  <si>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</si>
  <si>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</si>
  <si>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</si>
  <si>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</si>
  <si>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</si>
  <si>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</si>
  <si>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</si>
  <si>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</si>
  <si>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</si>
  <si>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</si>
  <si>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</si>
  <si>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</si>
  <si>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</si>
  <si>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</si>
  <si>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</si>
  <si>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</si>
  <si>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</si>
  <si>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</si>
  <si>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</si>
  <si>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</si>
  <si>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</si>
  <si>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</si>
  <si>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</si>
  <si>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</si>
  <si>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</si>
  <si>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</si>
  <si>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</si>
  <si>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</si>
  <si>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</si>
  <si>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</si>
  <si>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</si>
  <si>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</si>
  <si>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</si>
  <si>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</si>
  <si>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</si>
  <si>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</si>
  <si>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</si>
  <si>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</si>
  <si>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</si>
  <si>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</si>
  <si>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</si>
  <si>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</si>
  <si>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</si>
  <si>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</si>
  <si>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</si>
  <si>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</si>
  <si>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</si>
  <si>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</si>
  <si>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</si>
  <si>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</si>
  <si>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</si>
  <si>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</si>
  <si>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</si>
  <si>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</si>
  <si>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</si>
  <si>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</si>
  <si>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</si>
  <si>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</si>
  <si>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</si>
  <si>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</si>
  <si>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</si>
  <si>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</si>
  <si>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</si>
  <si>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</si>
  <si>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</si>
  <si>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</si>
  <si>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</si>
  <si>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</si>
  <si>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</si>
  <si>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</si>
  <si>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</si>
  <si>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</si>
  <si>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</si>
  <si>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</si>
  <si>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</si>
  <si>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</si>
  <si>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</si>
  <si>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</si>
  <si>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</si>
  <si>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</si>
  <si>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</si>
  <si>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</si>
  <si>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</si>
  <si>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</si>
  <si>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</si>
  <si>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</si>
  <si>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</si>
  <si>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</si>
  <si>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</si>
  <si>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</si>
  <si>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</si>
  <si>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</si>
  <si>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</si>
  <si>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</si>
  <si>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</si>
  <si>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</si>
  <si>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</si>
  <si>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</si>
  <si>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</si>
  <si>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</si>
  <si>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</si>
  <si>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</si>
  <si>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</si>
  <si>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</si>
  <si>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</si>
  <si>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</si>
  <si>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</si>
  <si>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</si>
  <si>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</si>
  <si>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</si>
  <si>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</si>
  <si>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</si>
  <si>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</si>
  <si>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</si>
  <si>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</si>
  <si>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</si>
  <si>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</si>
  <si>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</si>
  <si>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</si>
  <si>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</si>
  <si>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</si>
  <si>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</si>
  <si>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</si>
  <si>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</si>
  <si>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</si>
  <si>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</si>
  <si>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</si>
  <si>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</si>
  <si>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</si>
  <si>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</si>
  <si>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</si>
  <si>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</si>
  <si>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</si>
  <si>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</si>
  <si>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</si>
  <si>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</si>
  <si>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</si>
  <si>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</si>
  <si>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</si>
  <si>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</si>
  <si>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</si>
  <si>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</si>
  <si>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</si>
  <si>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</si>
  <si>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</si>
  <si>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</si>
  <si>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</si>
  <si>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</si>
  <si>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</si>
  <si>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</si>
  <si>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</si>
  <si>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</si>
  <si>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</si>
  <si>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</si>
  <si>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</si>
  <si>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</si>
  <si>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</si>
  <si>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</si>
  <si>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</si>
  <si>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</si>
  <si>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</si>
  <si>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</si>
  <si>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</si>
  <si>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</si>
  <si>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</si>
  <si>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</si>
  <si>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</si>
  <si>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</si>
  <si>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</si>
  <si>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</si>
  <si>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</si>
  <si>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</si>
  <si>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</si>
  <si>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</si>
  <si>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</si>
  <si>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</si>
  <si>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</si>
  <si>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</si>
  <si>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</si>
  <si>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</si>
  <si>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</si>
  <si>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</si>
  <si>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</si>
  <si>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</si>
  <si>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</si>
  <si>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</si>
  <si>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</si>
  <si>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</si>
  <si>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</si>
  <si>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</si>
  <si>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</si>
  <si>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</si>
  <si>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</si>
  <si>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</si>
  <si>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</si>
  <si>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</si>
  <si>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</si>
  <si>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</si>
  <si>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</si>
  <si>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</si>
  <si>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</si>
  <si>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</si>
  <si>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</si>
  <si>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</si>
  <si>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</si>
  <si>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</si>
  <si>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</si>
  <si>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</si>
  <si>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</si>
  <si>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</si>
  <si>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</si>
  <si>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</si>
  <si>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</si>
  <si>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</si>
  <si>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</si>
  <si>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</si>
  <si>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</si>
  <si>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</si>
  <si>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</si>
  <si>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</si>
  <si>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</si>
  <si>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</si>
  <si>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</si>
  <si>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</si>
  <si>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</si>
  <si>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</si>
  <si>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</si>
  <si>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</si>
  <si>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</si>
  <si>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</si>
  <si>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</si>
  <si>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</si>
  <si>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</si>
  <si>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</si>
  <si>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</si>
  <si>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</si>
  <si>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</si>
  <si>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</si>
  <si>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</si>
  <si>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</si>
  <si>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</si>
  <si>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</si>
  <si>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</si>
  <si>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</si>
  <si>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</si>
  <si>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</si>
  <si>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</si>
  <si>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</si>
  <si>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</si>
  <si>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</si>
  <si>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</si>
  <si>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</si>
  <si>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</si>
  <si>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</si>
  <si>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</si>
  <si>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</si>
  <si>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</si>
  <si>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</si>
  <si>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</si>
  <si>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</si>
  <si>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</si>
  <si>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</si>
  <si>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</si>
  <si>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</si>
  <si>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</si>
  <si>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</si>
  <si>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</si>
  <si>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</si>
  <si>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</si>
  <si>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</si>
  <si>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</si>
  <si>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</si>
  <si>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</si>
  <si>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</si>
  <si>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</si>
  <si>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</si>
  <si>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</si>
  <si>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</si>
  <si>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</si>
  <si>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</si>
  <si>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</si>
  <si>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</si>
  <si>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</si>
  <si>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</si>
  <si>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</si>
  <si>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</si>
  <si>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</si>
  <si>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</si>
  <si>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</si>
  <si>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</si>
  <si>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</si>
  <si>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</si>
  <si>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</si>
  <si>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</si>
  <si>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</si>
  <si>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</si>
  <si>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</si>
  <si>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</si>
  <si>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</si>
  <si>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</si>
  <si>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</si>
  <si>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</si>
  <si>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</si>
  <si>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</si>
  <si>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</si>
  <si>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</si>
  <si>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</si>
  <si>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</si>
  <si>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</si>
  <si>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</si>
  <si>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</si>
  <si>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</si>
  <si>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</si>
  <si>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</si>
  <si>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</si>
  <si>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</si>
  <si>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</si>
  <si>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</si>
  <si>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</si>
  <si>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</si>
  <si>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</si>
  <si>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</si>
  <si>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</si>
  <si>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</si>
  <si>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</si>
  <si>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</si>
  <si>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</si>
  <si>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</si>
  <si>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</si>
  <si>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</si>
  <si>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</si>
  <si>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</si>
  <si>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</si>
  <si>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</si>
  <si>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</si>
  <si>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</si>
  <si>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</si>
  <si>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</si>
  <si>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</si>
  <si>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</si>
  <si>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</si>
  <si>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</si>
  <si>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</si>
  <si>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</si>
  <si>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</si>
  <si>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</si>
  <si>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</si>
  <si>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</si>
  <si>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</si>
  <si>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</si>
  <si>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</si>
  <si>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</si>
  <si>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</si>
  <si>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</si>
  <si>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</si>
  <si>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</si>
  <si>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</si>
  <si>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</si>
  <si>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</si>
  <si>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</si>
  <si>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</si>
  <si>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</si>
  <si>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</si>
  <si>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</si>
  <si>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</si>
  <si>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</si>
  <si>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</si>
  <si>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</si>
  <si>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</si>
  <si>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</si>
  <si>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</si>
  <si>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</si>
  <si>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</si>
  <si>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</si>
  <si>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</si>
  <si>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</si>
  <si>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</si>
  <si>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</si>
  <si>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</si>
  <si>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</si>
  <si>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</si>
  <si>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</si>
  <si>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</si>
  <si>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</si>
  <si>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</si>
  <si>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</si>
  <si>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</si>
  <si>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</si>
  <si>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</si>
  <si>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</si>
  <si>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</si>
  <si>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</si>
  <si>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</si>
  <si>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</si>
  <si>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</si>
  <si>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</si>
  <si>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</si>
  <si>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</si>
  <si>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</si>
  <si>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</si>
  <si>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</si>
  <si>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</si>
  <si>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</si>
  <si>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</si>
  <si>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</si>
  <si>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</si>
  <si>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</si>
  <si>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</si>
  <si>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</si>
  <si>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</si>
  <si>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</si>
  <si>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</si>
  <si>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</si>
  <si>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</si>
  <si>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</si>
  <si>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</si>
  <si>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</si>
  <si>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</si>
  <si>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</si>
  <si>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</si>
  <si>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</si>
  <si>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</si>
  <si>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</si>
  <si>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</si>
  <si>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</si>
  <si>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</si>
  <si>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</si>
  <si>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</si>
  <si>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</si>
  <si>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</si>
  <si>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</si>
  <si>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</si>
  <si>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</si>
  <si>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</si>
  <si>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</si>
  <si>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</si>
  <si>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</si>
  <si>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</si>
  <si>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</si>
  <si>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</si>
  <si>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</si>
  <si>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</si>
  <si>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</si>
  <si>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</si>
  <si>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</si>
  <si>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</si>
  <si>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</si>
  <si>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</si>
  <si>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</si>
  <si>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</si>
  <si>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</si>
  <si>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</si>
  <si>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</si>
  <si>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</si>
  <si>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</si>
  <si>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</si>
  <si>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</si>
  <si>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</si>
  <si>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</si>
  <si>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</si>
  <si>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</si>
  <si>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</si>
  <si>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</si>
  <si>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</si>
  <si>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</si>
  <si>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</si>
  <si>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</si>
  <si>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</si>
  <si>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</si>
  <si>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</si>
  <si>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</si>
  <si>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</si>
  <si>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</si>
  <si>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</si>
  <si>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</si>
  <si>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</si>
  <si>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</si>
  <si>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</si>
  <si>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</si>
  <si>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</si>
  <si>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</si>
  <si>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</si>
  <si>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</si>
  <si>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</si>
  <si>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</si>
  <si>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</si>
  <si>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</si>
  <si>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</si>
  <si>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</si>
  <si>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</si>
  <si>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</si>
  <si>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</si>
  <si>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</si>
  <si>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</si>
  <si>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</si>
  <si>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</si>
  <si>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</si>
  <si>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</si>
  <si>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</si>
  <si>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</si>
  <si>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</si>
  <si>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</si>
  <si>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</si>
  <si>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</si>
  <si>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</si>
  <si>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</si>
  <si>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</si>
  <si>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</si>
  <si>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</si>
  <si>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</si>
  <si>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</si>
  <si>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</si>
  <si>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</si>
  <si>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</si>
  <si>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</si>
  <si>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</si>
  <si>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</si>
  <si>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</si>
  <si>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</si>
  <si>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</si>
  <si>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</si>
  <si>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</si>
  <si>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</si>
  <si>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</si>
  <si>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</si>
  <si>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</si>
  <si>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</si>
  <si>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</si>
  <si>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</si>
  <si>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</si>
  <si>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</si>
  <si>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</si>
  <si>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</si>
  <si>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</si>
  <si>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</si>
  <si>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</si>
  <si>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</si>
  <si>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</si>
  <si>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</si>
  <si>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</si>
  <si>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</si>
  <si>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</si>
  <si>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</si>
  <si>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</si>
  <si>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</si>
  <si>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</si>
  <si>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</si>
  <si>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</si>
  <si>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</si>
  <si>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</si>
  <si>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</si>
  <si>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</si>
  <si>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</si>
  <si>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</si>
  <si>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</si>
  <si>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</si>
  <si>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</si>
  <si>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</si>
  <si>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</si>
  <si>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</si>
  <si>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</si>
  <si>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</si>
  <si>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</si>
  <si>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</si>
  <si>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</si>
  <si>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</si>
  <si>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</si>
  <si>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</si>
  <si>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</si>
  <si>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</si>
  <si>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</si>
  <si>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</si>
  <si>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</si>
  <si>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</si>
  <si>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</si>
  <si>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</si>
  <si>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</si>
  <si>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</si>
  <si>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</si>
  <si>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</si>
  <si>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</si>
  <si>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</si>
  <si>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</si>
  <si>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</si>
  <si>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</si>
  <si>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</si>
  <si>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</si>
  <si>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</si>
  <si>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</si>
  <si>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</si>
  <si>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</si>
  <si>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</si>
  <si>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</si>
  <si>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</si>
  <si>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</si>
  <si>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</si>
  <si>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</si>
  <si>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</si>
  <si>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</si>
  <si>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</si>
  <si>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</si>
  <si>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</si>
  <si>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</si>
  <si>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</si>
  <si>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</si>
  <si>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</si>
  <si>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</si>
  <si>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</si>
  <si>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</si>
  <si>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</si>
  <si>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</si>
  <si>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</si>
  <si>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</si>
  <si>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</si>
  <si>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</si>
  <si>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</si>
  <si>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</si>
  <si>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</si>
  <si>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</si>
  <si>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</si>
  <si>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</si>
  <si>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</si>
  <si>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</si>
  <si>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</si>
  <si>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</si>
  <si>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</si>
  <si>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</si>
  <si>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</si>
  <si>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</si>
  <si>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</si>
  <si>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</si>
  <si>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</si>
  <si>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</si>
  <si>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</si>
  <si>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</si>
  <si>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</si>
  <si>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</si>
  <si>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</si>
  <si>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</si>
  <si>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</si>
  <si>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</si>
  <si>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</si>
  <si>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</si>
  <si>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</si>
  <si>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</si>
  <si>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</si>
  <si>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</si>
  <si>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</si>
  <si>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</si>
  <si>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</si>
  <si>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</si>
  <si>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</si>
  <si>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</si>
  <si>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</si>
  <si>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</si>
  <si>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</si>
  <si>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</si>
  <si>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</si>
  <si>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</si>
  <si>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</si>
  <si>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</si>
  <si>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</si>
  <si>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</si>
  <si>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</si>
  <si>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</si>
  <si>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</si>
  <si>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</si>
  <si>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</si>
  <si>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</si>
  <si>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</si>
  <si>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</si>
  <si>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</si>
  <si>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</si>
  <si>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</si>
  <si>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</si>
  <si>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</si>
  <si>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</si>
  <si>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</si>
  <si>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</si>
  <si>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</si>
  <si>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</si>
  <si>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</si>
  <si>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</si>
  <si>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</si>
  <si>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</si>
  <si>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</si>
  <si>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</si>
  <si>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</si>
  <si>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</si>
  <si>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</si>
  <si>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</si>
  <si>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</si>
  <si>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</si>
  <si>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</si>
  <si>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</si>
  <si>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</si>
  <si>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</si>
  <si>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</si>
  <si>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</si>
  <si>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</si>
  <si>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</si>
  <si>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</si>
  <si>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</si>
  <si>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</si>
  <si>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</si>
  <si>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</si>
  <si>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</si>
  <si>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</si>
  <si>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</si>
  <si>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</si>
  <si>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</si>
  <si>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</si>
  <si>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</si>
  <si>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</si>
  <si>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</si>
  <si>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</si>
  <si>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</si>
  <si>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</si>
  <si>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</si>
  <si>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</si>
  <si>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</si>
  <si>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</si>
  <si>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</si>
  <si>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</si>
  <si>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</si>
  <si>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</si>
  <si>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</si>
  <si>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</si>
  <si>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</si>
  <si>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</si>
  <si>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</si>
  <si>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</si>
  <si>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</si>
  <si>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</si>
  <si>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</si>
  <si>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</si>
  <si>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</si>
  <si>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</si>
  <si>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</si>
  <si>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</si>
  <si>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</si>
  <si>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</si>
  <si>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</si>
  <si>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</si>
  <si>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</si>
  <si>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</si>
  <si>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</si>
  <si>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</si>
  <si>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</si>
  <si>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</si>
  <si>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</si>
  <si>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</si>
  <si>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</si>
  <si>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</si>
  <si>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</si>
  <si>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</si>
  <si>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</si>
  <si>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</si>
  <si>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</si>
  <si>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</si>
  <si>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</si>
  <si>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</si>
  <si>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</si>
  <si>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</si>
  <si>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</si>
  <si>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</si>
  <si>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</si>
  <si>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</si>
  <si>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</si>
  <si>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</si>
  <si>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</si>
  <si>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</si>
  <si>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</si>
  <si>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</si>
  <si>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</si>
  <si>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</si>
  <si>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</si>
  <si>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</si>
  <si>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</si>
  <si>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</si>
  <si>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</si>
  <si>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</si>
  <si>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</si>
  <si>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</si>
  <si>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</si>
  <si>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</si>
  <si>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</si>
  <si>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</si>
  <si>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</si>
  <si>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</si>
  <si>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</si>
  <si>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</si>
  <si>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</si>
  <si>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</si>
  <si>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</si>
  <si>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</si>
  <si>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</si>
  <si>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</si>
  <si>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</si>
  <si>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</si>
  <si>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</si>
  <si>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</si>
  <si>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</si>
  <si>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</si>
  <si>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</si>
  <si>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</si>
  <si>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</si>
  <si>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</si>
  <si>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</si>
  <si>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</si>
  <si>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</si>
  <si>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</si>
  <si>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</si>
  <si>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</si>
  <si>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</si>
  <si>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</si>
  <si>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</si>
  <si>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</si>
  <si>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</si>
  <si>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</si>
  <si>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</si>
  <si>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</si>
  <si>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</si>
  <si>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</si>
  <si>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</si>
  <si>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</si>
  <si>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</si>
  <si>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</si>
  <si>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</si>
  <si>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</si>
  <si>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</si>
  <si>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</si>
  <si>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</si>
  <si>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</si>
  <si>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</si>
  <si>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</si>
  <si>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</si>
  <si>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</si>
  <si>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</si>
  <si>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</si>
  <si>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</si>
  <si>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</si>
  <si>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</si>
  <si>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</si>
  <si>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</si>
  <si>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</si>
  <si>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</si>
  <si>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</si>
  <si>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</si>
  <si>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</si>
  <si>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</si>
  <si>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</si>
  <si>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</si>
  <si>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</si>
  <si>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</si>
  <si>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</si>
  <si>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</si>
  <si>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</si>
  <si>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</si>
  <si>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</si>
  <si>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</si>
  <si>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</si>
  <si>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</si>
  <si>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</si>
  <si>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</si>
  <si>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</si>
  <si>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</si>
  <si>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</si>
  <si>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</si>
  <si>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</si>
  <si>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</si>
  <si>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</si>
  <si>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</si>
  <si>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</si>
  <si>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</si>
  <si>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</si>
  <si>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</si>
  <si>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</si>
  <si>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</si>
  <si>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</si>
  <si>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</si>
  <si>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</si>
  <si>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</si>
  <si>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</si>
  <si>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</si>
  <si>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</si>
  <si>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</si>
  <si>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</si>
  <si>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</si>
  <si>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</si>
  <si>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</si>
  <si>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</si>
  <si>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</si>
  <si>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</si>
  <si>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</si>
  <si>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</si>
  <si>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</si>
  <si>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</si>
  <si>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</si>
  <si>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</si>
  <si>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</si>
  <si>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</si>
  <si>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</si>
  <si>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</si>
  <si>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</si>
  <si>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</si>
  <si>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</si>
  <si>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</si>
  <si>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</si>
  <si>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</si>
  <si>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</si>
  <si>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</si>
  <si>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</si>
  <si>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</si>
  <si>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</si>
  <si>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</si>
  <si>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</si>
  <si>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</si>
  <si>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</si>
  <si>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</si>
  <si>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</si>
  <si>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</si>
  <si>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</si>
  <si>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</si>
  <si>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</si>
  <si>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</si>
  <si>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</si>
  <si>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</si>
  <si>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</si>
  <si>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</si>
  <si>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</si>
  <si>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</si>
  <si>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</si>
  <si>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</si>
  <si>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</si>
  <si>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</si>
  <si>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</si>
  <si>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</si>
  <si>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</si>
  <si>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</si>
  <si>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</si>
  <si>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</si>
  <si>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</si>
  <si>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</si>
  <si>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</si>
  <si>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</si>
  <si>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</si>
  <si>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</si>
  <si>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</si>
  <si>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</si>
  <si>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</si>
  <si>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</si>
  <si>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</si>
  <si>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</si>
  <si>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</si>
  <si>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</si>
  <si>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</si>
  <si>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</si>
  <si>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</si>
  <si>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</si>
  <si>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</si>
  <si>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</si>
  <si>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</si>
  <si>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</si>
  <si>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</si>
  <si>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</si>
  <si>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</si>
  <si>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</si>
  <si>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</si>
  <si>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</si>
  <si>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</si>
  <si>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</si>
  <si>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</si>
  <si>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</si>
  <si>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</si>
  <si>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</si>
  <si>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</si>
  <si>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</si>
  <si>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</si>
  <si>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</si>
  <si>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</si>
  <si>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</si>
  <si>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</si>
  <si>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</si>
  <si>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</si>
  <si>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</si>
  <si>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</si>
  <si>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</si>
  <si>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</si>
  <si>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</si>
  <si>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</si>
  <si>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</si>
  <si>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</si>
  <si>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</si>
  <si>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</si>
  <si>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</si>
  <si>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</si>
  <si>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</si>
  <si>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</si>
  <si>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</si>
  <si>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</si>
  <si>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</si>
  <si>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</si>
  <si>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</si>
  <si>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</si>
  <si>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</si>
  <si>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</si>
  <si>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</si>
  <si>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</si>
  <si>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</si>
  <si>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</si>
  <si>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</si>
  <si>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</si>
  <si>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</si>
  <si>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</si>
  <si>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</si>
  <si>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</si>
  <si>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</si>
  <si>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</si>
  <si>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</si>
  <si>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</si>
  <si>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</si>
  <si>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</si>
  <si>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</si>
  <si>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</si>
  <si>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</si>
  <si>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</si>
  <si>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</si>
  <si>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</si>
  <si>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</si>
  <si>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</si>
  <si>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</si>
  <si>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</si>
  <si>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</si>
  <si>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</si>
  <si>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</si>
  <si>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</si>
  <si>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</si>
  <si>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</si>
  <si>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</si>
  <si>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</si>
  <si>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</si>
  <si>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</si>
  <si>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</si>
  <si>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</si>
  <si>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</si>
  <si>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</si>
  <si>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</si>
  <si>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</si>
  <si>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</si>
  <si>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</si>
  <si>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</si>
  <si>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</si>
  <si>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</si>
  <si>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</si>
  <si>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</si>
  <si>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</si>
  <si>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</si>
  <si>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</si>
  <si>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</si>
  <si>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</si>
  <si>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</si>
  <si>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</si>
  <si>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</si>
  <si>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</si>
  <si>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</si>
  <si>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</si>
  <si>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</si>
  <si>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</si>
  <si>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</si>
  <si>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</si>
  <si>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</si>
  <si>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</si>
  <si>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</si>
  <si>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</si>
  <si>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</si>
  <si>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</si>
  <si>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</si>
  <si>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</si>
  <si>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</si>
  <si>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</si>
  <si>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</si>
  <si>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</si>
  <si>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</si>
  <si>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</si>
  <si>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</si>
  <si>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</si>
  <si>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</si>
  <si>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</si>
  <si>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</si>
  <si>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</si>
  <si>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</si>
  <si>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</si>
  <si>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</si>
  <si>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</si>
  <si>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</si>
  <si>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</si>
  <si>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</si>
  <si>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</si>
  <si>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</si>
  <si>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</si>
  <si>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</si>
  <si>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</si>
  <si>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</si>
  <si>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</si>
  <si>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</si>
  <si>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</si>
  <si>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</si>
  <si>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</si>
  <si>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</si>
  <si>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</si>
  <si>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</si>
  <si>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</si>
  <si>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</si>
  <si>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</si>
  <si>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</si>
  <si>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</si>
  <si>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</si>
  <si>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</si>
  <si>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</si>
  <si>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</si>
  <si>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</si>
  <si>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</si>
  <si>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</si>
  <si>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</si>
  <si>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</si>
  <si>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</si>
  <si>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</si>
  <si>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</si>
  <si>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</si>
  <si>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</si>
  <si>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</si>
  <si>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</si>
  <si>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</si>
  <si>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</si>
  <si>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</si>
  <si>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</si>
  <si>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</si>
  <si>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</si>
  <si>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</si>
  <si>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</si>
  <si>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</si>
  <si>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</si>
  <si>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</si>
  <si>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</si>
  <si>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</si>
  <si>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</si>
  <si>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</si>
  <si>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</si>
  <si>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</si>
  <si>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</si>
  <si>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</si>
  <si>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</si>
  <si>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</si>
  <si>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</si>
  <si>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</si>
  <si>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</si>
  <si>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</si>
  <si>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</si>
  <si>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</si>
  <si>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</si>
  <si>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</si>
  <si>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</si>
  <si>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</si>
  <si>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</si>
  <si>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</si>
  <si>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</si>
  <si>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</si>
  <si>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</si>
  <si>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</si>
  <si>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</si>
  <si>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</si>
  <si>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</si>
  <si>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</si>
  <si>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</si>
  <si>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</si>
  <si>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</si>
  <si>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</si>
  <si>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</si>
  <si>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</si>
  <si>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</si>
  <si>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</si>
  <si>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</si>
  <si>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</si>
  <si>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</si>
  <si>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</si>
  <si>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</si>
  <si>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</si>
  <si>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</si>
  <si>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</si>
  <si>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</si>
  <si>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</si>
  <si>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</si>
  <si>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</si>
  <si>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</si>
  <si>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</si>
  <si>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</si>
  <si>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</si>
  <si>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</si>
  <si>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</si>
  <si>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</si>
  <si>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</si>
  <si>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</si>
  <si>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</si>
  <si>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</si>
  <si>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</si>
  <si>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</si>
  <si>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</si>
  <si>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</si>
  <si>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</si>
  <si>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</si>
  <si>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</si>
  <si>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</si>
  <si>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</si>
  <si>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</si>
  <si>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</si>
  <si>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</si>
  <si>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</si>
  <si>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</si>
  <si>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</si>
  <si>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</si>
  <si>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</si>
  <si>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</si>
  <si>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</si>
  <si>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</si>
  <si>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</si>
  <si>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</si>
  <si>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</si>
  <si>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</si>
  <si>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</si>
  <si>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</si>
  <si>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</si>
  <si>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</si>
  <si>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</si>
  <si>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</si>
  <si>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</si>
  <si>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</si>
  <si>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</si>
  <si>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</si>
  <si>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</si>
  <si>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</si>
  <si>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</si>
  <si>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</si>
  <si>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</si>
  <si>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</si>
  <si>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</si>
  <si>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</si>
  <si>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</si>
  <si>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</si>
  <si>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</si>
  <si>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</si>
  <si>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</si>
  <si>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</si>
  <si>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</si>
  <si>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</si>
  <si>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</si>
  <si>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</si>
  <si>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</si>
  <si>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</si>
  <si>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</si>
  <si>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</si>
  <si>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</si>
  <si>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</si>
  <si>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</si>
  <si>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</si>
  <si>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</si>
  <si>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</si>
  <si>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</si>
  <si>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</si>
  <si>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</si>
  <si>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</si>
  <si>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</si>
  <si>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</si>
  <si>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</si>
  <si>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</si>
  <si>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</si>
  <si>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</si>
  <si>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</si>
  <si>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</si>
  <si>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</si>
  <si>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</si>
  <si>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</si>
  <si>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</si>
  <si>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</si>
  <si>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</si>
  <si>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</si>
  <si>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</si>
  <si>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</si>
  <si>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</si>
  <si>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</si>
  <si>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</si>
  <si>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</si>
  <si>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</si>
  <si>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</si>
  <si>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</si>
  <si>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</si>
  <si>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</si>
  <si>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</si>
  <si>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</si>
  <si>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</si>
  <si>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</si>
  <si>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</si>
  <si>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</si>
  <si>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</si>
  <si>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</si>
  <si>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</si>
  <si>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</si>
  <si>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</si>
  <si>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</si>
  <si>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</si>
  <si>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</si>
  <si>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</si>
  <si>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</si>
  <si>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</si>
  <si>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</si>
  <si>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</si>
  <si>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</si>
  <si>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</si>
  <si>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</si>
  <si>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</si>
  <si>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</si>
  <si>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</si>
  <si>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</si>
  <si>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</si>
  <si>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</si>
  <si>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</si>
  <si>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</si>
  <si>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</si>
  <si>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</si>
  <si>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</si>
  <si>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</si>
  <si>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</si>
  <si>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</si>
  <si>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</si>
  <si>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</si>
  <si>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</si>
  <si>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</si>
  <si>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</si>
  <si>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</si>
  <si>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</si>
  <si>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</si>
  <si>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</si>
  <si>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</si>
  <si>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</si>
  <si>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</si>
  <si>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</si>
  <si>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</si>
  <si>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</si>
  <si>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</si>
  <si>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</si>
  <si>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</si>
  <si>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</si>
  <si>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</si>
  <si>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</si>
  <si>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</si>
  <si>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</si>
  <si>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</si>
  <si>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</si>
  <si>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</si>
  <si>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</si>
  <si>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</si>
  <si>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</si>
  <si>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</si>
  <si>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</si>
  <si>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</si>
  <si>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</si>
  <si>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</si>
  <si>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</si>
  <si>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</si>
  <si>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</si>
  <si>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</si>
  <si>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</si>
  <si>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</si>
  <si>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</si>
  <si>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</si>
  <si>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</si>
  <si>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</si>
  <si>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</si>
  <si>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</si>
  <si>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</si>
  <si>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</si>
  <si>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</si>
  <si>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</si>
  <si>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</si>
  <si>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</si>
  <si>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</si>
  <si>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</si>
  <si>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</si>
  <si>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</si>
  <si>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</si>
  <si>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</si>
  <si>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</si>
  <si>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</si>
  <si>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</si>
  <si>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</si>
  <si>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</si>
  <si>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</si>
  <si>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</si>
  <si>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</si>
  <si>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</si>
  <si>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</si>
  <si>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</si>
  <si>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</si>
  <si>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</si>
  <si>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</si>
  <si>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</si>
  <si>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</si>
  <si>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</si>
  <si>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</si>
  <si>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</si>
  <si>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</si>
  <si>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</si>
  <si>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</si>
  <si>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</si>
  <si>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</si>
  <si>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</si>
  <si>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</si>
  <si>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</si>
  <si>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</si>
  <si>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</si>
  <si>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</si>
  <si>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</si>
  <si>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</si>
  <si>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</si>
  <si>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</si>
  <si>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</si>
  <si>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</si>
  <si>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</si>
  <si>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</si>
  <si>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</si>
  <si>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</si>
  <si>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</si>
  <si>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</si>
  <si>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</si>
  <si>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</si>
  <si>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</si>
  <si>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</si>
  <si>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</si>
  <si>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</si>
  <si>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</si>
  <si>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</si>
  <si>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</si>
  <si>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</si>
  <si>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</si>
  <si>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</si>
  <si>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</si>
  <si>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</si>
  <si>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</si>
  <si>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</si>
  <si>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</si>
  <si>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</si>
  <si>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</si>
  <si>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</si>
  <si>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</si>
  <si>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</si>
  <si>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</si>
  <si>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</si>
  <si>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</si>
  <si>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</si>
  <si>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</si>
  <si>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</si>
  <si>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</si>
  <si>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</si>
  <si>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</si>
  <si>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</si>
  <si>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</si>
  <si>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</si>
  <si>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</si>
  <si>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</si>
  <si>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</si>
  <si>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</si>
  <si>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</si>
  <si>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</si>
  <si>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</si>
  <si>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</si>
  <si>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</si>
  <si>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</si>
  <si>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</si>
  <si>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</si>
  <si>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</si>
  <si>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</si>
  <si>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</si>
  <si>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</si>
  <si>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</si>
  <si>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</si>
  <si>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</si>
  <si>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</si>
  <si>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</si>
  <si>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</si>
  <si>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</si>
  <si>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</si>
  <si>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</si>
  <si>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</si>
  <si>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</si>
  <si>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</si>
  <si>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</si>
  <si>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</si>
  <si>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</si>
  <si>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</si>
  <si>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</si>
  <si>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</si>
  <si>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</si>
  <si>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</si>
  <si>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</si>
  <si>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</si>
  <si>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</si>
  <si>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</si>
  <si>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</si>
  <si>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</si>
  <si>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</si>
  <si>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</si>
  <si>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</si>
  <si>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</si>
  <si>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</si>
  <si>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</si>
  <si>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</si>
  <si>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</si>
  <si>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</si>
  <si>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</si>
  <si>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</si>
  <si>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</si>
  <si>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</si>
  <si>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</si>
  <si>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</si>
  <si>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</si>
  <si>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</si>
  <si>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</si>
  <si>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</si>
  <si>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</si>
  <si>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</si>
  <si>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</si>
  <si>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</si>
  <si>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</si>
  <si>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</si>
  <si>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</si>
  <si>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</si>
  <si>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</si>
  <si>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</si>
  <si>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</si>
  <si>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</si>
  <si>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</si>
  <si>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</si>
  <si>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</si>
  <si>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</si>
  <si>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</si>
  <si>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</si>
  <si>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</si>
  <si>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</si>
  <si>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</si>
  <si>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</si>
  <si>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</si>
  <si>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</si>
  <si>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</si>
  <si>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</si>
  <si>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</si>
  <si>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</si>
  <si>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</si>
  <si>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</si>
  <si>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</si>
  <si>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</si>
  <si>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</si>
  <si>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</si>
  <si>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</si>
  <si>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</si>
  <si>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</si>
  <si>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</si>
  <si>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</si>
  <si>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</si>
  <si>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</si>
  <si>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</si>
  <si>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</si>
  <si>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</si>
  <si>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</si>
  <si>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</si>
  <si>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</si>
  <si>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</si>
  <si>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</si>
  <si>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</si>
  <si>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</si>
  <si>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</si>
  <si>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</si>
  <si>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</si>
  <si>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</si>
  <si>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</si>
  <si>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</si>
  <si>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</si>
  <si>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</si>
  <si>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</si>
  <si>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</si>
  <si>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</si>
  <si>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</si>
  <si>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</si>
  <si>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</si>
  <si>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</si>
  <si>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</si>
  <si>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</si>
  <si>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</si>
  <si>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</si>
  <si>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</si>
  <si>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</si>
  <si>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</si>
  <si>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</si>
  <si>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</si>
  <si>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</si>
  <si>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</si>
  <si>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</si>
  <si>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</si>
  <si>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</si>
  <si>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</si>
  <si>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</si>
  <si>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</si>
  <si>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</si>
  <si>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</si>
  <si>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</si>
  <si>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</si>
  <si>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</si>
  <si>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</si>
  <si>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</si>
  <si>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</si>
  <si>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</si>
  <si>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</si>
  <si>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</si>
  <si>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</si>
  <si>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</si>
  <si>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</si>
  <si>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</si>
  <si>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</si>
  <si>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</si>
  <si>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</si>
  <si>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</si>
  <si>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</si>
  <si>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</si>
  <si>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</si>
  <si>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</si>
  <si>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</si>
  <si>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</si>
  <si>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</si>
  <si>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</si>
  <si>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</si>
  <si>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</si>
  <si>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</si>
  <si>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</si>
  <si>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</si>
  <si>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</si>
  <si>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</si>
  <si>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</si>
  <si>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</si>
  <si>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</si>
  <si>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</si>
  <si>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</si>
  <si>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</si>
  <si>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</si>
  <si>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</si>
  <si>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</si>
  <si>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</si>
  <si>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</si>
  <si>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</si>
  <si>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</si>
  <si>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</si>
  <si>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</si>
  <si>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</si>
  <si>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</si>
  <si>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</si>
  <si>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</si>
  <si>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</si>
  <si>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</si>
  <si>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</si>
  <si>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</si>
  <si>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</si>
  <si>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</si>
  <si>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</si>
  <si>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</si>
  <si>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</si>
  <si>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</si>
  <si>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</si>
  <si>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</si>
  <si>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</si>
  <si>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</si>
  <si>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</si>
  <si>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</si>
  <si>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</si>
  <si>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</si>
  <si>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</si>
  <si>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</si>
  <si>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</si>
  <si>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</si>
  <si>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</si>
  <si>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</si>
  <si>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</si>
  <si>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</si>
  <si>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</si>
  <si>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</si>
  <si>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</si>
  <si>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</si>
  <si>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</si>
  <si>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</si>
  <si>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</si>
  <si>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</si>
  <si>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</si>
  <si>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</si>
  <si>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</si>
  <si>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</si>
  <si>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</si>
  <si>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</si>
  <si>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</si>
  <si>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</si>
  <si>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</si>
  <si>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</si>
  <si>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</si>
  <si>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</si>
  <si>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</si>
  <si>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</si>
  <si>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</si>
  <si>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</si>
  <si>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</si>
  <si>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</si>
  <si>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</si>
  <si>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</si>
  <si>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</si>
  <si>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</si>
  <si>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</si>
  <si>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</si>
  <si>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</si>
  <si>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</si>
  <si>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</si>
  <si>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</si>
  <si>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</si>
  <si>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</si>
  <si>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</si>
  <si>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</si>
  <si>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</si>
  <si>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</si>
  <si>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</si>
  <si>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</si>
  <si>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</si>
  <si>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</si>
  <si>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</si>
  <si>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</si>
  <si>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</si>
  <si>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</si>
  <si>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</si>
  <si>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</si>
  <si>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</si>
  <si>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</si>
  <si>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</si>
  <si>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</si>
  <si>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</si>
  <si>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</si>
  <si>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</si>
  <si>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</si>
  <si>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</si>
  <si>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</si>
  <si>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</si>
  <si>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</si>
  <si>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</si>
  <si>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</si>
  <si>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</si>
  <si>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</si>
  <si>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</si>
  <si>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</si>
  <si>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</si>
  <si>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</si>
  <si>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</si>
  <si>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</si>
  <si>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</si>
  <si>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</si>
  <si>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</si>
  <si>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</si>
  <si>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</si>
  <si>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</si>
  <si>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</si>
  <si>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</si>
  <si>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</si>
  <si>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</si>
  <si>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</si>
  <si>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</si>
  <si>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</si>
  <si>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</si>
  <si>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</si>
  <si>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</si>
  <si>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</si>
  <si>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</si>
  <si>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</si>
  <si>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</si>
  <si>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</si>
  <si>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</si>
  <si>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</si>
  <si>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</si>
  <si>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</si>
  <si>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</si>
  <si>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</si>
  <si>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</si>
  <si>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</si>
  <si>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</si>
  <si>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</si>
  <si>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</si>
  <si>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</si>
  <si>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</si>
  <si>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</si>
  <si>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</si>
  <si>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</si>
  <si>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</si>
  <si>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</si>
  <si>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</si>
  <si>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</si>
  <si>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</si>
  <si>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</si>
  <si>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</si>
  <si>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</si>
  <si>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</si>
  <si>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</si>
  <si>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</si>
  <si>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</si>
  <si>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</si>
  <si>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</si>
  <si>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</si>
  <si>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</si>
  <si>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</si>
  <si>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</si>
  <si>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</si>
  <si>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</si>
  <si>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</si>
  <si>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</si>
  <si>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</si>
  <si>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</si>
  <si>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</si>
  <si>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</si>
  <si>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</si>
  <si>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</si>
  <si>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</si>
  <si>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</si>
  <si>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</si>
  <si>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</si>
  <si>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</si>
  <si>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</si>
  <si>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</si>
  <si>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</si>
  <si>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</si>
  <si>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</si>
  <si>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</si>
  <si>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</si>
  <si>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</si>
  <si>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</si>
  <si>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</si>
  <si>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</si>
  <si>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</si>
  <si>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</si>
  <si>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</si>
  <si>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</si>
  <si>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</si>
  <si>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</si>
  <si>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</si>
  <si>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</si>
  <si>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</si>
  <si>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</si>
  <si>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</si>
  <si>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</si>
  <si>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</si>
  <si>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</si>
  <si>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</si>
  <si>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</si>
  <si>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</si>
  <si>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</si>
  <si>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</si>
  <si>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</si>
  <si>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</si>
  <si>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</si>
  <si>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</si>
  <si>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</si>
  <si>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</si>
  <si>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</si>
  <si>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</si>
  <si>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</si>
  <si>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</si>
  <si>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</si>
  <si>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</si>
  <si>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</si>
  <si>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</si>
  <si>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</si>
  <si>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</si>
  <si>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</si>
  <si>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</si>
  <si>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</si>
  <si>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</si>
  <si>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</si>
  <si>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</si>
  <si>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</si>
  <si>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</si>
  <si>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</si>
  <si>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</si>
  <si>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</si>
  <si>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</si>
  <si>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</si>
  <si>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</si>
  <si>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</si>
  <si>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</si>
  <si>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</si>
  <si>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</si>
  <si>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</si>
  <si>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</si>
  <si>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</si>
  <si>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</si>
  <si>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</si>
  <si>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</si>
  <si>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</si>
  <si>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</si>
  <si>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</si>
  <si>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</si>
  <si>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</si>
  <si>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</si>
  <si>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</si>
  <si>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</si>
  <si>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</si>
  <si>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</si>
  <si>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</si>
  <si>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</si>
  <si>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</si>
  <si>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</si>
  <si>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</si>
  <si>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</si>
  <si>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</si>
  <si>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</si>
  <si>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</si>
  <si>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</si>
  <si>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</si>
  <si>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</si>
  <si>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</si>
  <si>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</si>
  <si>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</si>
  <si>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</si>
  <si>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</si>
  <si>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</si>
  <si>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</si>
  <si>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</si>
  <si>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</si>
  <si>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</si>
  <si>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</si>
  <si>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</si>
  <si>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</si>
  <si>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</si>
  <si>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</si>
  <si>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</si>
  <si>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</si>
  <si>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</si>
  <si>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</si>
  <si>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</si>
  <si>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</si>
  <si>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</si>
  <si>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</si>
  <si>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</si>
  <si>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</si>
  <si>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</si>
  <si>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</si>
  <si>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</si>
  <si>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</si>
  <si>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</si>
  <si>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</si>
  <si>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</si>
  <si>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</si>
  <si>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</si>
  <si>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</si>
  <si>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</si>
  <si>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</si>
  <si>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</si>
  <si>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</si>
  <si>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</si>
  <si>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</si>
  <si>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</si>
  <si>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</si>
  <si>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</si>
  <si>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</si>
  <si>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</si>
  <si>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</si>
  <si>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</si>
  <si>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</si>
  <si>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</si>
  <si>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</si>
  <si>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</si>
  <si>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</si>
  <si>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</si>
  <si>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</si>
  <si>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</si>
  <si>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</si>
  <si>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</si>
  <si>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</si>
  <si>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</si>
  <si>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</si>
  <si>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</si>
  <si>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</si>
  <si>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</si>
  <si>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</si>
  <si>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</si>
  <si>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</si>
  <si>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</si>
  <si>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</si>
  <si>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</si>
  <si>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</si>
  <si>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</si>
  <si>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</si>
  <si>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</si>
  <si>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</si>
  <si>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</si>
  <si>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</si>
  <si>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</si>
  <si>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</si>
  <si>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</si>
  <si>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</si>
  <si>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</si>
  <si>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</si>
  <si>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</si>
  <si>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</si>
  <si>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</si>
  <si>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</si>
  <si>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</si>
  <si>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</si>
  <si>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</si>
  <si>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</si>
  <si>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</si>
  <si>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</si>
  <si>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</si>
  <si>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</si>
  <si>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</si>
  <si>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</si>
  <si>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</si>
  <si>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</si>
  <si>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</si>
  <si>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</si>
  <si>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</si>
  <si>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</si>
  <si>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</si>
  <si>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</si>
  <si>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</si>
  <si>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</si>
  <si>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</si>
  <si>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</si>
  <si>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</si>
  <si>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</si>
  <si>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</si>
  <si>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</si>
  <si>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</si>
  <si>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</si>
  <si>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</si>
  <si>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</si>
  <si>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</si>
  <si>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</si>
  <si>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</si>
  <si>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</si>
  <si>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</si>
  <si>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</si>
  <si>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</si>
  <si>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</si>
  <si>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</si>
  <si>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</si>
  <si>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</si>
  <si>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</si>
  <si>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</si>
  <si>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</si>
  <si>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</si>
  <si>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</si>
  <si>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</si>
  <si>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</si>
  <si>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</si>
  <si>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</si>
  <si>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</si>
  <si>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</si>
  <si>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</si>
  <si>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</si>
  <si>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</si>
  <si>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</si>
  <si>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</si>
  <si>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</si>
  <si>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</si>
  <si>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</si>
  <si>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</si>
  <si>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</si>
  <si>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</si>
  <si>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</si>
  <si>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</si>
  <si>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</si>
  <si>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</si>
  <si>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</si>
  <si>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</si>
  <si>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</si>
  <si>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</si>
  <si>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</si>
  <si>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</si>
  <si>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</si>
  <si>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</si>
  <si>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</si>
  <si>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</si>
  <si>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</si>
  <si>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</si>
  <si>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</si>
  <si>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</si>
  <si>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</si>
  <si>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</si>
  <si>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</si>
  <si>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</si>
  <si>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</si>
  <si>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</si>
  <si>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</si>
  <si>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</si>
  <si>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</si>
  <si>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</si>
  <si>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</si>
  <si>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</si>
  <si>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</si>
  <si>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</si>
  <si>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</si>
  <si>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</si>
  <si>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</si>
  <si>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</si>
  <si>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</si>
  <si>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</si>
  <si>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</si>
  <si>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</si>
  <si>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</si>
  <si>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</si>
  <si>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</si>
  <si>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</si>
  <si>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</si>
  <si>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</si>
  <si>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</si>
  <si>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</si>
  <si>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</si>
  <si>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</si>
  <si>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</si>
  <si>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</si>
  <si>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</si>
  <si>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</si>
  <si>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</si>
  <si>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</si>
  <si>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</si>
  <si>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</si>
  <si>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</si>
  <si>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</si>
  <si>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</si>
  <si>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</si>
  <si>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</si>
  <si>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</si>
  <si>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</si>
  <si>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</si>
  <si>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</si>
  <si>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</si>
  <si>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</si>
  <si>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</si>
  <si>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</si>
  <si>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</si>
  <si>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</si>
  <si>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</si>
  <si>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</si>
  <si>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</si>
  <si>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</si>
  <si>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</si>
  <si>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</si>
  <si>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</si>
  <si>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</si>
  <si>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</si>
  <si>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</si>
  <si>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</si>
  <si>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</si>
  <si>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</si>
  <si>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</si>
  <si>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</si>
  <si>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</si>
  <si>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</si>
  <si>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</si>
  <si>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</si>
  <si>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</si>
  <si>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</si>
  <si>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</si>
  <si>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</si>
  <si>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</si>
  <si>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</si>
  <si>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</si>
  <si>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</si>
  <si>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</si>
  <si>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</si>
  <si>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</si>
  <si>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</si>
  <si>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</si>
  <si>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</si>
  <si>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</si>
  <si>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</si>
  <si>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</si>
  <si>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</si>
  <si>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</si>
  <si>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</si>
  <si>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</si>
  <si>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</si>
  <si>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</si>
  <si>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</si>
  <si>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</si>
  <si>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</si>
  <si>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</si>
  <si>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</si>
  <si>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</si>
  <si>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</si>
  <si>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</si>
  <si>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</si>
  <si>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</si>
  <si>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</si>
  <si>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</si>
  <si>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</si>
  <si>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</si>
  <si>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</si>
  <si>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</si>
  <si>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</si>
  <si>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</si>
  <si>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</si>
  <si>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</si>
  <si>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</si>
  <si>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</si>
  <si>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</si>
  <si>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</si>
  <si>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</si>
  <si>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</si>
  <si>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</si>
  <si>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</si>
  <si>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</si>
  <si>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</si>
  <si>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</si>
  <si>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</si>
  <si>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</si>
  <si>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</si>
  <si>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</si>
  <si>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</si>
  <si>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</si>
  <si>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</si>
  <si>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</si>
  <si>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</si>
  <si>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</si>
  <si>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</si>
  <si>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</si>
  <si>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</si>
  <si>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</si>
  <si>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</si>
  <si>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</si>
  <si>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</si>
  <si>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</si>
  <si>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</si>
  <si>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</si>
  <si>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</si>
  <si>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</si>
  <si>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</si>
  <si>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</si>
  <si>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</si>
  <si>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</si>
  <si>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</si>
  <si>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</si>
  <si>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</si>
  <si>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</si>
  <si>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</si>
  <si>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</si>
  <si>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</si>
  <si>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</si>
  <si>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</si>
  <si>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</si>
  <si>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</si>
  <si>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</si>
  <si>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</si>
  <si>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</si>
  <si>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</si>
  <si>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</si>
  <si>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</si>
  <si>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</si>
  <si>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</si>
  <si>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</si>
  <si>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</si>
  <si>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</si>
  <si>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</si>
  <si>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</si>
  <si>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</si>
  <si>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</si>
  <si>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</si>
  <si>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</si>
  <si>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</si>
  <si>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</si>
  <si>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</si>
  <si>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</si>
  <si>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</si>
  <si>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</si>
  <si>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</si>
  <si>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</si>
  <si>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</si>
  <si>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</si>
  <si>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</si>
  <si>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</si>
  <si>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</si>
  <si>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</si>
  <si>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</si>
  <si>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</si>
  <si>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</si>
  <si>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</si>
  <si>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</si>
  <si>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</si>
  <si>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</si>
  <si>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</si>
  <si>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</si>
  <si>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</si>
  <si>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</si>
  <si>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</si>
  <si>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</si>
  <si>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</si>
  <si>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</si>
  <si>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</si>
  <si>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</si>
  <si>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</si>
  <si>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</si>
  <si>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</si>
  <si>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</si>
  <si>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</si>
  <si>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</si>
  <si>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</si>
  <si>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</si>
  <si>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</si>
  <si>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</si>
  <si>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</si>
  <si>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</si>
  <si>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</si>
  <si>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</si>
  <si>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</si>
  <si>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</si>
  <si>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</si>
  <si>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</si>
  <si>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</si>
  <si>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</si>
  <si>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</si>
  <si>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</si>
  <si>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</si>
  <si>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</si>
  <si>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</si>
  <si>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</si>
  <si>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</si>
  <si>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</si>
  <si>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</si>
  <si>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</si>
  <si>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</si>
  <si>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</si>
  <si>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</si>
  <si>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</si>
  <si>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</si>
  <si>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</si>
  <si>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</si>
  <si>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</si>
  <si>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</si>
  <si>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</si>
  <si>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</si>
  <si>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</si>
  <si>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</si>
  <si>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</si>
  <si>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</si>
  <si>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</si>
  <si>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</si>
  <si>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</si>
  <si>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</si>
  <si>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</si>
  <si>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</si>
  <si>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</si>
  <si>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</si>
  <si>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</si>
  <si>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</si>
  <si>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</si>
  <si>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</si>
  <si>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</si>
  <si>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</si>
  <si>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</si>
  <si>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</si>
  <si>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</si>
  <si>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</si>
  <si>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</si>
  <si>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</si>
  <si>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</si>
  <si>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</si>
  <si>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</si>
  <si>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</si>
  <si>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</si>
  <si>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</si>
  <si>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</si>
  <si>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</si>
  <si>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</si>
  <si>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</si>
  <si>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</si>
  <si>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</si>
  <si>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</si>
  <si>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</si>
  <si>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</si>
  <si>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</si>
  <si>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</si>
  <si>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</si>
  <si>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</si>
  <si>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</si>
  <si>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</si>
  <si>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</si>
  <si>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</si>
  <si>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</si>
  <si>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</si>
  <si>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</si>
  <si>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</si>
  <si>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</si>
  <si>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</si>
  <si>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</si>
  <si>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</si>
  <si>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</si>
  <si>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</si>
  <si>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</si>
  <si>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</si>
  <si>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</si>
  <si>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</si>
  <si>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</si>
  <si>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</si>
  <si>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</si>
  <si>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</si>
  <si>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</si>
  <si>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</si>
  <si>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</si>
  <si>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</si>
  <si>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</si>
  <si>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</si>
  <si>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</si>
  <si>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</si>
  <si>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</si>
  <si>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</si>
  <si>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</si>
  <si>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</si>
  <si>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</si>
  <si>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</si>
  <si>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</si>
  <si>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</si>
  <si>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</si>
  <si>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</si>
  <si>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</si>
  <si>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</si>
  <si>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</si>
  <si>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</si>
  <si>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</si>
  <si>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</si>
  <si>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</si>
  <si>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</si>
  <si>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</si>
  <si>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</si>
  <si>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</si>
  <si>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</si>
  <si>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</si>
  <si>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</si>
  <si>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</si>
  <si>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</si>
  <si>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</si>
  <si>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</si>
  <si>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</si>
  <si>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</si>
  <si>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</si>
  <si>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</si>
  <si>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</si>
  <si>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</si>
  <si>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</si>
  <si>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</si>
  <si>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</si>
  <si>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</si>
  <si>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</si>
  <si>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</si>
  <si>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</si>
  <si>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</si>
  <si>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</si>
  <si>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</si>
  <si>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</si>
  <si>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</si>
  <si>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</si>
  <si>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</si>
  <si>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</si>
  <si>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</si>
  <si>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</si>
  <si>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</si>
  <si>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</si>
  <si>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</si>
  <si>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</si>
  <si>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</si>
  <si>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</si>
  <si>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</si>
  <si>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</si>
  <si>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</si>
  <si>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</si>
  <si>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</si>
  <si>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</si>
  <si>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</si>
  <si>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</si>
  <si>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</si>
  <si>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</si>
  <si>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</si>
  <si>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</si>
  <si>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</si>
  <si>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</si>
  <si>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</si>
  <si>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</si>
  <si>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</si>
  <si>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</si>
  <si>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</si>
  <si>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</si>
  <si>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</si>
  <si>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</si>
  <si>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</si>
  <si>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</si>
  <si>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</si>
  <si>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</si>
  <si>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</si>
  <si>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</si>
  <si>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</si>
  <si>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</si>
  <si>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</si>
  <si>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</si>
  <si>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</si>
  <si>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</si>
  <si>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</si>
  <si>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</si>
  <si>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</si>
  <si>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</si>
  <si>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</si>
  <si>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</si>
  <si>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</si>
  <si>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</si>
  <si>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</si>
  <si>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</si>
  <si>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</si>
  <si>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</si>
  <si>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</si>
  <si>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</si>
  <si>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</si>
  <si>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</si>
  <si>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</si>
  <si>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</si>
  <si>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</si>
  <si>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</si>
  <si>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</si>
  <si>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</si>
  <si>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</si>
  <si>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</si>
  <si>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</si>
  <si>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</si>
  <si>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</si>
  <si>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</si>
  <si>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</si>
  <si>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</si>
  <si>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</si>
  <si>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</si>
  <si>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</si>
  <si>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</si>
  <si>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</si>
  <si>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</si>
  <si>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</si>
  <si>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</si>
  <si>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</si>
  <si>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</si>
  <si>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</si>
  <si>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</si>
  <si>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</si>
  <si>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</si>
  <si>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</si>
  <si>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</si>
  <si>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</si>
  <si>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</si>
  <si>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</si>
  <si>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</si>
  <si>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</si>
  <si>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</si>
  <si>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</si>
  <si>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</si>
  <si>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</si>
  <si>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</si>
  <si>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</si>
  <si>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</si>
  <si>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</si>
  <si>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</si>
  <si>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</si>
  <si>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</si>
  <si>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</si>
  <si>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</si>
  <si>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</si>
  <si>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</si>
  <si>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</si>
  <si>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</si>
  <si>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</si>
  <si>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</si>
  <si>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</si>
  <si>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</si>
  <si>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</si>
  <si>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</si>
  <si>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</si>
  <si>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</si>
  <si>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</si>
  <si>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</si>
  <si>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</si>
  <si>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</si>
  <si>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</si>
  <si>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</si>
  <si>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</si>
  <si>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</si>
  <si>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</si>
  <si>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</si>
  <si>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</si>
  <si>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</si>
  <si>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</si>
  <si>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</si>
  <si>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</si>
  <si>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</si>
  <si>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</si>
  <si>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</si>
  <si>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</si>
  <si>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</si>
  <si>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</si>
  <si>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</si>
  <si>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</si>
  <si>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</si>
  <si>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</si>
  <si>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</si>
  <si>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</si>
  <si>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</si>
  <si>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</si>
  <si>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</si>
  <si>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</si>
  <si>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</si>
  <si>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</si>
  <si>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</si>
  <si>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</si>
  <si>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</si>
  <si>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</si>
  <si>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</si>
  <si>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</si>
  <si>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</si>
  <si>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</si>
  <si>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</si>
  <si>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</si>
  <si>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</si>
  <si>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</si>
  <si>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</si>
  <si>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</si>
  <si>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</si>
  <si>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</si>
  <si>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</si>
  <si>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</si>
  <si>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</si>
  <si>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</si>
  <si>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</si>
  <si>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</si>
  <si>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</si>
  <si>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</si>
  <si>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</si>
  <si>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</si>
  <si>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</si>
  <si>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</si>
  <si>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</si>
  <si>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</si>
  <si>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</si>
  <si>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</si>
  <si>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</si>
  <si>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</si>
  <si>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</si>
  <si>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</si>
  <si>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</si>
  <si>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</si>
  <si>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</si>
  <si>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</si>
  <si>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</si>
  <si>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</si>
  <si>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</si>
  <si>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</si>
  <si>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</si>
  <si>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</si>
  <si>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</si>
  <si>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</si>
  <si>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</si>
  <si>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</si>
  <si>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</si>
  <si>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</si>
  <si>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</si>
  <si>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</si>
  <si>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</si>
  <si>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</si>
  <si>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</si>
  <si>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</si>
  <si>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</si>
  <si>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</si>
  <si>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</si>
  <si>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</si>
  <si>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</si>
  <si>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</si>
  <si>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</si>
  <si>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</si>
  <si>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</si>
  <si>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</si>
  <si>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</si>
  <si>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</si>
  <si>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</si>
  <si>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</si>
  <si>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</si>
  <si>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</si>
  <si>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</si>
  <si>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</si>
  <si>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</si>
  <si>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</si>
  <si>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</si>
  <si>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</si>
  <si>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</si>
  <si>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</si>
  <si>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</si>
  <si>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</si>
  <si>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</si>
  <si>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</si>
  <si>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</si>
  <si>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</si>
  <si>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</si>
  <si>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</si>
  <si>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</si>
  <si>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</si>
  <si>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</si>
  <si>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</si>
  <si>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</si>
  <si>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</si>
  <si>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</si>
  <si>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</si>
  <si>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</si>
  <si>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</si>
  <si>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</si>
  <si>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</si>
  <si>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</si>
  <si>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</si>
  <si>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</si>
  <si>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</si>
  <si>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</si>
  <si>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</si>
  <si>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</si>
  <si>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</si>
  <si>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</si>
  <si>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</si>
  <si>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</si>
  <si>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</si>
  <si>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</si>
  <si>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</si>
  <si>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</si>
  <si>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</si>
  <si>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</si>
  <si>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</si>
  <si>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</si>
  <si>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</si>
  <si>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</si>
  <si>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</si>
  <si>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</si>
  <si>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</si>
  <si>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</si>
  <si>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</si>
  <si>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</si>
  <si>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</si>
  <si>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</si>
  <si>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</si>
  <si>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</si>
  <si>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</si>
  <si>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</si>
  <si>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</si>
  <si>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</si>
  <si>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</si>
  <si>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</si>
  <si>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</si>
  <si>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</si>
  <si>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</si>
  <si>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</si>
  <si>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</si>
  <si>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</si>
  <si>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</si>
  <si>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</si>
  <si>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</si>
  <si>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</si>
  <si>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</si>
  <si>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</si>
  <si>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</si>
  <si>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</si>
  <si>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</si>
  <si>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</si>
  <si>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</si>
  <si>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</si>
  <si>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</si>
  <si>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</si>
  <si>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</si>
  <si>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</si>
  <si>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</si>
  <si>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</si>
  <si>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</si>
  <si>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</si>
  <si>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</si>
  <si>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</si>
  <si>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</si>
  <si>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</si>
  <si>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</si>
  <si>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</si>
  <si>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</si>
  <si>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</si>
  <si>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</si>
  <si>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</si>
  <si>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</si>
  <si>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</si>
  <si>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</si>
  <si>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</si>
  <si>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</si>
  <si>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</si>
  <si>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</si>
  <si>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</si>
  <si>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</si>
  <si>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</si>
  <si>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</si>
  <si>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</si>
  <si>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</si>
  <si>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</si>
  <si>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</si>
  <si>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</si>
  <si>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</si>
  <si>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</si>
  <si>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</si>
  <si>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</si>
  <si>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</si>
  <si>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</si>
  <si>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</si>
  <si>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</si>
  <si>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</si>
  <si>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</si>
  <si>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</si>
  <si>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</si>
  <si>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</si>
  <si>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</si>
  <si>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</si>
  <si>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</si>
  <si>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</si>
  <si>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</si>
  <si>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</si>
  <si>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</si>
  <si>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</si>
  <si>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</si>
  <si>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</si>
  <si>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</si>
  <si>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</si>
  <si>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</si>
  <si>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</si>
  <si>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</si>
  <si>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</si>
  <si>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</si>
  <si>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</si>
  <si>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</si>
  <si>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</si>
  <si>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</si>
  <si>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</si>
  <si>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</si>
  <si>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</si>
  <si>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</si>
  <si>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</si>
  <si>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</si>
  <si>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</si>
  <si>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</si>
  <si>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</si>
  <si>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</si>
  <si>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</si>
  <si>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</si>
  <si>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</si>
  <si>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</si>
  <si>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</si>
  <si>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</si>
  <si>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</si>
  <si>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</si>
  <si>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</si>
  <si>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</si>
  <si>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</si>
  <si>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</si>
  <si>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</si>
  <si>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</si>
  <si>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</si>
  <si>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</si>
  <si>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</si>
  <si>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</si>
  <si>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</si>
  <si>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</si>
  <si>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</si>
  <si>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</si>
  <si>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</si>
  <si>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</si>
  <si>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</si>
  <si>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</si>
  <si>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</si>
  <si>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</si>
  <si>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</si>
  <si>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</si>
  <si>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</si>
  <si>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</si>
  <si>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</si>
  <si>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</si>
  <si>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</si>
  <si>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</si>
  <si>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</si>
  <si>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</si>
  <si>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</si>
  <si>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</si>
  <si>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</si>
  <si>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</si>
  <si>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</si>
  <si>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</si>
  <si>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</si>
  <si>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</si>
  <si>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</si>
  <si>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</si>
  <si>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</si>
  <si>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</si>
  <si>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</si>
  <si>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</si>
  <si>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</si>
  <si>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</si>
  <si>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</si>
  <si>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</si>
  <si>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</si>
  <si>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</si>
  <si>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</si>
  <si>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</si>
  <si>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</si>
  <si>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</si>
  <si>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</si>
  <si>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</si>
  <si>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</si>
  <si>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</si>
  <si>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</si>
  <si>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</si>
  <si>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</si>
  <si>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</si>
  <si>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</si>
  <si>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</si>
  <si>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</si>
  <si>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</si>
  <si>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</si>
  <si>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</si>
  <si>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</si>
  <si>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</si>
  <si>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</si>
  <si>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</si>
  <si>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</si>
  <si>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</si>
  <si>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</si>
  <si>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</si>
  <si>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</si>
  <si>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</si>
  <si>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</si>
  <si>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</si>
  <si>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</si>
  <si>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</si>
  <si>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</si>
  <si>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</si>
  <si>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</si>
  <si>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</si>
  <si>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</si>
  <si>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</si>
  <si>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</si>
  <si>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</si>
  <si>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</si>
  <si>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</si>
  <si>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</si>
  <si>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</si>
  <si>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</si>
  <si>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</si>
  <si>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</si>
  <si>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</si>
  <si>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</si>
  <si>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</si>
  <si>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</si>
  <si>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</si>
  <si>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</si>
  <si>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</si>
  <si>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</si>
  <si>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</si>
  <si>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</si>
  <si>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</si>
  <si>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</si>
  <si>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</si>
  <si>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</si>
  <si>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</si>
  <si>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</si>
  <si>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</si>
  <si>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</si>
  <si>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</si>
  <si>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</si>
  <si>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</si>
  <si>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</si>
  <si>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</si>
  <si>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</si>
  <si>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</si>
  <si>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</si>
  <si>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</si>
  <si>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</si>
  <si>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</si>
  <si>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</si>
  <si>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</si>
  <si>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</si>
  <si>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</si>
  <si>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</si>
  <si>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</si>
  <si>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</si>
  <si>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</si>
  <si>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</si>
  <si>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</si>
  <si>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</si>
  <si>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</si>
  <si>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</si>
  <si>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</si>
  <si>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</si>
  <si>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</si>
  <si>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</si>
  <si>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</si>
  <si>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</si>
  <si>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</si>
  <si>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</si>
  <si>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</si>
  <si>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</si>
  <si>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</si>
  <si>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</si>
  <si>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</si>
  <si>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</si>
  <si>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</si>
  <si>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</si>
  <si>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</si>
  <si>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</si>
  <si>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</si>
  <si>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</si>
  <si>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</si>
  <si>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</si>
  <si>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</si>
  <si>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</si>
  <si>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</si>
  <si>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</si>
  <si>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</si>
  <si>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</si>
  <si>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</si>
  <si>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</si>
  <si>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</si>
  <si>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</si>
  <si>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</si>
  <si>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</si>
  <si>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</si>
  <si>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</si>
  <si>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</si>
  <si>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</si>
  <si>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</si>
  <si>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</si>
  <si>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</si>
  <si>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</si>
  <si>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</si>
  <si>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</si>
  <si>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</si>
  <si>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</si>
  <si>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</si>
  <si>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</si>
  <si>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</si>
  <si>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</si>
  <si>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</si>
  <si>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</si>
  <si>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</si>
  <si>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</si>
  <si>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</si>
  <si>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</si>
  <si>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</si>
  <si>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</si>
  <si>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</si>
  <si>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</si>
  <si>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</si>
  <si>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</si>
  <si>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</si>
  <si>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</si>
  <si>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</si>
  <si>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</si>
  <si>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</si>
  <si>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</si>
  <si>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</si>
  <si>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</si>
  <si>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</si>
  <si>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</si>
  <si>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</si>
  <si>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</si>
  <si>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</si>
  <si>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</si>
  <si>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</si>
  <si>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</si>
  <si>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</si>
  <si>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</si>
  <si>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</si>
  <si>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</si>
  <si>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</si>
  <si>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</si>
  <si>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</si>
  <si>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</si>
  <si>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</si>
  <si>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</si>
  <si>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</si>
  <si>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</si>
  <si>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</si>
  <si>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</si>
  <si>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</si>
  <si>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</si>
  <si>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</si>
  <si>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</si>
  <si>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</si>
  <si>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</si>
  <si>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</si>
  <si>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</si>
  <si>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</si>
  <si>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</si>
  <si>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</si>
  <si>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</si>
  <si>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</si>
  <si>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</si>
  <si>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</si>
  <si>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</si>
  <si>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</si>
  <si>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</si>
  <si>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</si>
  <si>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</si>
  <si>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</si>
  <si>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</si>
  <si>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</si>
  <si>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</si>
  <si>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</si>
  <si>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</si>
  <si>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</si>
  <si>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</si>
  <si>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</si>
  <si>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</si>
  <si>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</si>
  <si>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</si>
  <si>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</si>
  <si>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</si>
  <si>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</si>
  <si>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</si>
  <si>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</si>
  <si>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</si>
  <si>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</si>
  <si>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</si>
  <si>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</si>
  <si>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</si>
  <si>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</si>
  <si>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</si>
  <si>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</si>
  <si>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</si>
  <si>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</si>
  <si>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</si>
  <si>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</si>
  <si>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</si>
  <si>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</si>
  <si>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</si>
  <si>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</si>
  <si>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</si>
  <si>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</si>
  <si>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</si>
  <si>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</si>
  <si>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</si>
  <si>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</si>
  <si>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</si>
  <si>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</si>
  <si>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</si>
  <si>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</si>
  <si>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</si>
  <si>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</si>
  <si>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</si>
  <si>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</si>
  <si>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</si>
  <si>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</si>
  <si>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</si>
  <si>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</si>
  <si>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</si>
  <si>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</si>
  <si>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</si>
  <si>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</si>
  <si>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</si>
  <si>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</si>
  <si>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</si>
  <si>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</si>
  <si>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</si>
  <si>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</si>
  <si>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</si>
  <si>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</si>
  <si>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</si>
  <si>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</si>
  <si>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</si>
  <si>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</si>
  <si>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</si>
  <si>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</si>
  <si>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</si>
  <si>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</si>
  <si>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</si>
  <si>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</si>
  <si>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</si>
  <si>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</si>
  <si>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</si>
  <si>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</si>
  <si>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</si>
  <si>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</si>
  <si>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</si>
  <si>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</si>
  <si>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</si>
  <si>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</si>
  <si>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</si>
  <si>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</si>
  <si>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</si>
  <si>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</si>
  <si>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</si>
  <si>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</si>
  <si>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</si>
  <si>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</si>
  <si>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</si>
  <si>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</si>
  <si>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</si>
  <si>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</si>
  <si>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</si>
  <si>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</si>
  <si>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</si>
  <si>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</si>
  <si>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</si>
  <si>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</si>
  <si>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</si>
  <si>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</si>
  <si>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</si>
  <si>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</si>
  <si>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</si>
  <si>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</si>
  <si>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</si>
  <si>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</si>
  <si>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</si>
  <si>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</si>
  <si>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</si>
  <si>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</si>
  <si>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</si>
  <si>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</si>
  <si>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</si>
  <si>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</si>
  <si>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</si>
  <si>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</si>
  <si>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</si>
  <si>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</si>
  <si>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</si>
  <si>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</si>
  <si>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</si>
  <si>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</si>
  <si>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</si>
  <si>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</si>
  <si>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</si>
  <si>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</si>
  <si>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</si>
  <si>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</si>
  <si>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</si>
  <si>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</si>
  <si>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</si>
  <si>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</si>
  <si>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</si>
  <si>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</si>
  <si>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</si>
  <si>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</si>
  <si>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</si>
  <si>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</si>
  <si>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</si>
  <si>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</si>
  <si>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</si>
  <si>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</si>
  <si>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</si>
  <si>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</si>
  <si>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</si>
  <si>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</si>
  <si>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</si>
  <si>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</si>
  <si>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</si>
  <si>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</si>
  <si>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</si>
  <si>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</si>
  <si>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</si>
  <si>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</si>
  <si>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</si>
  <si>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</si>
  <si>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</si>
  <si>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</si>
  <si>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</si>
  <si>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</si>
  <si>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</si>
  <si>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</si>
  <si>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</si>
  <si>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</si>
  <si>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</si>
  <si>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</si>
  <si>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</si>
  <si>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</si>
  <si>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</si>
  <si>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</si>
  <si>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</si>
  <si>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</si>
  <si>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</si>
  <si>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</si>
  <si>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</si>
  <si>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</si>
  <si>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</si>
  <si>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</si>
  <si>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</si>
  <si>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</si>
  <si>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</si>
  <si>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</si>
  <si>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</si>
  <si>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</si>
  <si>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</si>
  <si>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</si>
  <si>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</si>
  <si>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</si>
  <si>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</si>
  <si>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</si>
  <si>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</si>
  <si>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</si>
  <si>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</si>
  <si>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</si>
  <si>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</si>
  <si>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</si>
  <si>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</si>
  <si>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</si>
  <si>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</si>
  <si>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</si>
  <si>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</si>
  <si>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</si>
  <si>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</si>
  <si>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</si>
  <si>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</si>
  <si>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</si>
  <si>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</si>
  <si>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</si>
  <si>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</si>
  <si>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</si>
  <si>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</si>
  <si>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</si>
  <si>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</si>
  <si>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</si>
  <si>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</si>
  <si>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</si>
  <si>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</si>
  <si>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</si>
  <si>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</si>
  <si>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</si>
  <si>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</si>
  <si>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</si>
  <si>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</si>
  <si>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</si>
  <si>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</si>
  <si>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</si>
  <si>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</si>
  <si>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</si>
  <si>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</si>
  <si>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</si>
  <si>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</si>
  <si>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</si>
  <si>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</si>
  <si>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</si>
  <si>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</si>
  <si>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</si>
  <si>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</si>
  <si>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</si>
  <si>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</si>
  <si>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</si>
  <si>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</si>
  <si>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</si>
  <si>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</si>
  <si>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</si>
  <si>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</si>
  <si>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</si>
  <si>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</si>
  <si>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</si>
  <si>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</si>
  <si>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</si>
  <si>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</si>
  <si>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</si>
  <si>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</si>
  <si>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</si>
  <si>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</si>
  <si>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</si>
  <si>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</si>
  <si>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</si>
  <si>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</si>
  <si>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</si>
  <si>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</si>
  <si>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</si>
  <si>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</si>
  <si>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</si>
  <si>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</si>
  <si>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</si>
  <si>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</si>
  <si>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</si>
  <si>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</si>
  <si>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</si>
  <si>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</si>
  <si>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</si>
  <si>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</si>
  <si>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</si>
  <si>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</si>
  <si>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</si>
  <si>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</si>
  <si>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</si>
  <si>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</si>
  <si>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</si>
  <si>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</si>
  <si>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</si>
  <si>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</si>
  <si>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</si>
  <si>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</si>
  <si>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</si>
  <si>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</si>
  <si>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</si>
  <si>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</si>
  <si>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</si>
  <si>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</si>
  <si>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</si>
  <si>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</si>
  <si>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</si>
  <si>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</si>
  <si>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</si>
  <si>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</si>
  <si>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</si>
  <si>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</si>
  <si>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</si>
  <si>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</si>
  <si>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</si>
  <si>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</si>
  <si>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</si>
  <si>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</si>
  <si>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</si>
  <si>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</si>
  <si>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</si>
  <si>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</si>
  <si>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</si>
  <si>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</si>
  <si>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</si>
  <si>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</si>
  <si>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</si>
  <si>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</si>
  <si>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</si>
  <si>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</si>
  <si>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</si>
  <si>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</si>
  <si>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</si>
  <si>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</si>
  <si>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</si>
  <si>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</si>
  <si>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</si>
  <si>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</si>
  <si>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</si>
  <si>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</si>
  <si>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</si>
  <si>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</si>
  <si>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</si>
  <si>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</si>
  <si>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</si>
  <si>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</si>
  <si>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</si>
  <si>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</si>
  <si>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</si>
  <si>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</si>
  <si>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</si>
  <si>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</si>
  <si>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</si>
  <si>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</si>
  <si>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</si>
  <si>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</si>
  <si>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</si>
  <si>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</si>
  <si>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</si>
  <si>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</si>
  <si>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</si>
  <si>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</si>
  <si>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</si>
  <si>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</si>
  <si>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</si>
  <si>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</si>
  <si>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</si>
  <si>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</si>
  <si>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</si>
  <si>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</si>
  <si>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</si>
  <si>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</si>
  <si>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</si>
  <si>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</si>
  <si>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</si>
  <si>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</si>
  <si>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</si>
  <si>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</si>
  <si>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</si>
  <si>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</si>
  <si>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</si>
  <si>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</si>
  <si>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</si>
  <si>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</si>
  <si>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</si>
  <si>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</si>
  <si>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</si>
  <si>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</si>
  <si>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</si>
  <si>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</si>
  <si>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</si>
  <si>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</si>
  <si>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</si>
  <si>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</si>
  <si>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</si>
  <si>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</si>
  <si>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</si>
  <si>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</si>
  <si>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</si>
  <si>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</si>
  <si>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</si>
  <si>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</si>
  <si>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</si>
  <si>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</si>
  <si>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</si>
  <si>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</si>
  <si>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</si>
  <si>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</si>
  <si>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</si>
  <si>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</si>
  <si>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</si>
  <si>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</si>
  <si>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</si>
  <si>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</si>
  <si>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</si>
  <si>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</si>
  <si>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</si>
  <si>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</si>
  <si>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</si>
  <si>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</si>
  <si>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</si>
  <si>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</si>
  <si>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</si>
  <si>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</si>
  <si>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</si>
  <si>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</si>
  <si>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</si>
  <si>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</si>
  <si>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</si>
  <si>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</si>
  <si>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</si>
  <si>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</si>
  <si>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</si>
  <si>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</si>
  <si>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</si>
  <si>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</si>
  <si>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</si>
  <si>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</si>
  <si>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</si>
  <si>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</si>
  <si>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</si>
  <si>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</si>
  <si>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</si>
  <si>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</si>
  <si>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</si>
  <si>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</si>
  <si>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</si>
  <si>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</si>
  <si>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</si>
  <si>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</si>
  <si>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</si>
  <si>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</si>
  <si>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</si>
  <si>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</si>
  <si>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</si>
  <si>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</si>
  <si>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</si>
  <si>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</si>
  <si>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</si>
  <si>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</si>
  <si>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</si>
  <si>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</si>
  <si>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</si>
  <si>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</si>
  <si>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</si>
  <si>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</si>
  <si>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</si>
  <si>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</si>
  <si>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</si>
  <si>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</si>
  <si>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</si>
  <si>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</si>
  <si>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</si>
  <si>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</si>
  <si>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</si>
  <si>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</si>
  <si>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</si>
  <si>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</si>
  <si>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</si>
  <si>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</si>
  <si>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</si>
  <si>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</si>
  <si>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</si>
  <si>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</si>
  <si>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</si>
  <si>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</si>
  <si>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</si>
  <si>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</si>
  <si>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</si>
  <si>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</si>
  <si>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</si>
  <si>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</si>
  <si>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</si>
  <si>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</si>
  <si>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</si>
  <si>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</si>
  <si>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</si>
  <si>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</si>
  <si>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</si>
  <si>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</si>
  <si>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</si>
  <si>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</si>
  <si>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</si>
  <si>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</si>
  <si>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</si>
  <si>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</si>
  <si>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</si>
  <si>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</si>
  <si>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</si>
  <si>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</si>
  <si>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</si>
  <si>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</si>
  <si>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</si>
  <si>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</si>
  <si>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</si>
  <si>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</si>
  <si>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</si>
  <si>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</si>
  <si>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</si>
  <si>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</si>
  <si>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</si>
  <si>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</si>
  <si>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</si>
  <si>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</si>
  <si>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</si>
  <si>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</si>
  <si>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</si>
  <si>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</si>
  <si>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</si>
  <si>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</si>
  <si>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</si>
  <si>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</si>
  <si>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</si>
  <si>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</si>
  <si>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</si>
  <si>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</si>
  <si>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</si>
  <si>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</si>
  <si>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</si>
  <si>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</si>
  <si>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</si>
  <si>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</si>
  <si>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</si>
  <si>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</si>
  <si>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</si>
  <si>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</si>
  <si>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</si>
  <si>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</si>
  <si>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</si>
  <si>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</si>
  <si>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</si>
  <si>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</si>
  <si>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</si>
  <si>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</si>
  <si>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</si>
  <si>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</si>
  <si>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</si>
  <si>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</si>
  <si>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</si>
  <si>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</si>
  <si>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</si>
  <si>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</si>
  <si>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</si>
  <si>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</si>
  <si>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</si>
  <si>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</si>
  <si>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</si>
  <si>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</si>
  <si>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</si>
  <si>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</si>
  <si>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</si>
  <si>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</si>
  <si>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</si>
  <si>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</si>
  <si>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</si>
  <si>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</si>
  <si>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</si>
  <si>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</si>
  <si>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</si>
  <si>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</si>
  <si>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</si>
  <si>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</si>
  <si>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</si>
  <si>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</si>
  <si>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</si>
  <si>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</si>
  <si>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</si>
  <si>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</si>
  <si>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</si>
  <si>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</si>
  <si>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</si>
  <si>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</si>
  <si>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</si>
  <si>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</si>
  <si>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</si>
  <si>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</si>
  <si>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</si>
  <si>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</si>
  <si>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</si>
  <si>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</si>
  <si>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</si>
  <si>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</si>
  <si>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</si>
  <si>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</si>
  <si>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</si>
  <si>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</si>
  <si>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</si>
  <si>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</si>
  <si>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</si>
  <si>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</si>
  <si>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</si>
  <si>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</si>
  <si>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</si>
  <si>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</si>
  <si>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</si>
  <si>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</si>
  <si>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</si>
  <si>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</si>
  <si>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</si>
  <si>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</si>
  <si>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</si>
  <si>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</si>
  <si>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</si>
  <si>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</si>
  <si>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</si>
  <si>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</si>
  <si>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</si>
  <si>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</si>
  <si>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</si>
  <si>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</si>
  <si>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</si>
  <si>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</si>
  <si>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</si>
  <si>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</si>
  <si>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</si>
  <si>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</si>
  <si>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</si>
  <si>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</si>
  <si>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</si>
  <si>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</si>
  <si>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</si>
  <si>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</si>
  <si>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</si>
  <si>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</si>
  <si>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</si>
  <si>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</si>
  <si>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</si>
  <si>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</si>
  <si>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</si>
  <si>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</si>
  <si>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</si>
  <si>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</si>
  <si>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</si>
  <si>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</si>
  <si>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</si>
  <si>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</si>
  <si>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</si>
  <si>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</si>
  <si>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</si>
  <si>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</si>
  <si>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</si>
  <si>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</si>
  <si>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</si>
  <si>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</si>
  <si>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</si>
  <si>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</si>
  <si>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</si>
  <si>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</si>
  <si>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</si>
  <si>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</si>
  <si>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</si>
  <si>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</si>
  <si>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</si>
  <si>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</si>
  <si>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</si>
  <si>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</si>
  <si>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</si>
  <si>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</si>
  <si>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</si>
  <si>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</si>
  <si>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</si>
  <si>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</si>
  <si>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</si>
  <si>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</si>
  <si>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</si>
  <si>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</si>
  <si>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</si>
  <si>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</si>
  <si>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</si>
  <si>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</si>
  <si>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</si>
  <si>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</si>
  <si>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</si>
  <si>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</si>
  <si>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</si>
  <si>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</si>
  <si>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</si>
  <si>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</si>
  <si>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</si>
  <si>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</si>
  <si>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</si>
  <si>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</si>
  <si>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</si>
  <si>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</si>
  <si>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</si>
  <si>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</si>
  <si>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</si>
  <si>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</si>
  <si>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</si>
  <si>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</si>
  <si>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</si>
  <si>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</si>
  <si>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</si>
  <si>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</si>
  <si>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</si>
  <si>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</si>
  <si>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</si>
  <si>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</si>
  <si>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</si>
  <si>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</si>
  <si>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</si>
  <si>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</si>
  <si>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</si>
  <si>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</si>
  <si>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</si>
  <si>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</si>
  <si>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</si>
  <si>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</si>
  <si>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</si>
  <si>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</si>
  <si>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</si>
  <si>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</si>
  <si>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</si>
  <si>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</si>
  <si>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</si>
  <si>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</si>
  <si>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</si>
  <si>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</si>
  <si>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</si>
  <si>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</si>
  <si>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</si>
  <si>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</si>
  <si>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</si>
  <si>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</si>
  <si>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</si>
  <si>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</si>
  <si>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</si>
  <si>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</si>
  <si>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</si>
  <si>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</si>
  <si>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</si>
  <si>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</si>
  <si>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</si>
  <si>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</si>
  <si>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</si>
  <si>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</si>
  <si>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</si>
  <si>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</si>
  <si>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</si>
  <si>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</si>
  <si>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</si>
  <si>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</si>
  <si>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</si>
  <si>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</si>
  <si>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</si>
  <si>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</si>
  <si>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</si>
  <si>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</si>
  <si>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</si>
  <si>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</si>
  <si>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</si>
  <si>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</si>
  <si>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</si>
  <si>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</si>
  <si>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</si>
  <si>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</si>
  <si>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</si>
  <si>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</si>
  <si>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</si>
  <si>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</si>
  <si>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</si>
  <si>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</si>
  <si>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</si>
  <si>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</si>
  <si>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</si>
  <si>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</si>
  <si>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</si>
  <si>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</si>
  <si>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</si>
  <si>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</si>
  <si>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</si>
  <si>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</si>
  <si>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</si>
  <si>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</si>
  <si>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</si>
  <si>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</si>
  <si>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</si>
  <si>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</si>
  <si>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</si>
  <si>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</si>
  <si>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</si>
  <si>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</si>
  <si>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</si>
  <si>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</si>
  <si>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</si>
  <si>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</si>
  <si>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</si>
  <si>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</si>
  <si>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</si>
  <si>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</si>
  <si>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</si>
  <si>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</si>
  <si>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</si>
  <si>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</si>
  <si>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</si>
  <si>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</si>
  <si>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</si>
  <si>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</si>
  <si>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</si>
  <si>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</si>
  <si>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</si>
  <si>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</si>
  <si>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</si>
  <si>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</si>
  <si>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</si>
  <si>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</si>
  <si>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</si>
  <si>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</si>
  <si>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</si>
  <si>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</si>
  <si>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</si>
  <si>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</si>
  <si>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</si>
  <si>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</si>
  <si>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</si>
  <si>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</si>
  <si>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</si>
  <si>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</si>
  <si>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</si>
  <si>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</si>
  <si>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</si>
  <si>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</si>
  <si>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</si>
  <si>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</si>
  <si>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</si>
  <si>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</si>
  <si>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</si>
  <si>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</si>
  <si>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</si>
  <si>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</si>
  <si>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</si>
  <si>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</si>
  <si>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</si>
  <si>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</si>
  <si>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</si>
  <si>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</si>
  <si>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</si>
  <si>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</si>
  <si>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</si>
  <si>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</si>
  <si>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</si>
  <si>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</si>
  <si>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</si>
  <si>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</si>
  <si>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</si>
  <si>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</si>
  <si>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</si>
  <si>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</si>
  <si>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</si>
  <si>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</si>
  <si>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</si>
  <si>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</si>
  <si>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</si>
  <si>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</si>
  <si>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</si>
  <si>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</si>
  <si>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</si>
  <si>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</si>
  <si>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</si>
  <si>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</si>
  <si>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</si>
  <si>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</si>
  <si>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</si>
  <si>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</si>
  <si>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</si>
  <si>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</si>
  <si>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</si>
  <si>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</si>
  <si>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</si>
  <si>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</si>
  <si>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</si>
  <si>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</si>
  <si>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</si>
  <si>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</si>
  <si>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</si>
  <si>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</si>
  <si>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</si>
  <si>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</si>
  <si>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</si>
  <si>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</si>
  <si>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</si>
  <si>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</si>
  <si>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</si>
  <si>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</si>
  <si>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</si>
  <si>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</si>
  <si>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</si>
  <si>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</si>
  <si>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</si>
  <si>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</si>
  <si>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</si>
  <si>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</si>
  <si>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</si>
  <si>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</si>
  <si>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</si>
  <si>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</si>
  <si>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</si>
  <si>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</si>
  <si>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</si>
  <si>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</si>
  <si>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</si>
  <si>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</si>
  <si>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</si>
  <si>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</si>
  <si>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</si>
  <si>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</si>
  <si>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</si>
  <si>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</si>
  <si>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</si>
  <si>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</si>
  <si>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</si>
  <si>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</si>
  <si>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</si>
  <si>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</si>
  <si>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</si>
  <si>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</si>
  <si>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</si>
  <si>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</si>
  <si>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</si>
  <si>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</si>
  <si>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</si>
  <si>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</si>
  <si>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</si>
  <si>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</si>
  <si>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</si>
  <si>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</si>
  <si>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</si>
  <si>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</si>
  <si>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</si>
  <si>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</si>
  <si>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</si>
  <si>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</si>
  <si>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</si>
  <si>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</si>
  <si>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</si>
  <si>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</si>
  <si>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</si>
  <si>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</si>
  <si>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</si>
  <si>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</si>
  <si>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</si>
  <si>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</si>
  <si>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</si>
  <si>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</si>
  <si>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</si>
  <si>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</si>
  <si>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</si>
  <si>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</si>
  <si>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</si>
  <si>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</si>
  <si>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</si>
  <si>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</si>
  <si>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</si>
  <si>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</si>
  <si>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</si>
  <si>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</si>
  <si>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</si>
  <si>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</si>
  <si>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</si>
  <si>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</si>
  <si>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</si>
  <si>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</si>
  <si>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</si>
  <si>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</si>
  <si>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</si>
  <si>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</si>
  <si>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</si>
  <si>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</si>
  <si>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</si>
  <si>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</si>
  <si>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</si>
  <si>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</si>
  <si>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</si>
  <si>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</si>
  <si>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</si>
  <si>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</si>
  <si>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</si>
  <si>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</si>
  <si>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</si>
  <si>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</si>
  <si>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</si>
  <si>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</si>
  <si>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</si>
  <si>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</si>
  <si>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</si>
  <si>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</si>
  <si>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</si>
  <si>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</si>
  <si>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</si>
  <si>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</si>
  <si>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</si>
  <si>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</si>
  <si>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</si>
  <si>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</si>
  <si>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</si>
  <si>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</si>
  <si>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</si>
  <si>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</si>
  <si>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</si>
  <si>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</si>
  <si>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</si>
  <si>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</si>
  <si>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</si>
  <si>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</si>
  <si>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</si>
  <si>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</si>
  <si>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</si>
  <si>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</si>
  <si>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</si>
  <si>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</si>
  <si>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</si>
  <si>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</si>
  <si>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</si>
  <si>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</si>
  <si>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</si>
  <si>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</si>
  <si>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</si>
  <si>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</si>
  <si>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</si>
  <si>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</si>
  <si>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</si>
  <si>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</si>
  <si>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</si>
  <si>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</si>
  <si>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</si>
  <si>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</si>
  <si>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</si>
  <si>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</si>
  <si>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</si>
  <si>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</si>
  <si>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</si>
  <si>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</si>
  <si>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</si>
  <si>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</si>
  <si>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</si>
  <si>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</si>
  <si>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</si>
  <si>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</si>
  <si>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</si>
  <si>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</si>
  <si>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</si>
  <si>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</si>
  <si>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</si>
  <si>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</si>
  <si>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</si>
  <si>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</si>
  <si>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</si>
  <si>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</si>
  <si>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</si>
  <si>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</si>
  <si>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</si>
  <si>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</si>
  <si>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</si>
  <si>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</si>
  <si>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</si>
  <si>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</si>
  <si>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</si>
  <si>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</si>
  <si>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</si>
  <si>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</si>
  <si>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</si>
  <si>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</si>
  <si>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</si>
  <si>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</si>
  <si>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</si>
  <si>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</si>
  <si>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</si>
  <si>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</si>
  <si>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</si>
  <si>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</si>
  <si>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</si>
  <si>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</si>
  <si>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</si>
  <si>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</si>
  <si>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</si>
  <si>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</si>
  <si>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</si>
  <si>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</si>
  <si>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</si>
  <si>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</si>
  <si>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</si>
  <si>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</si>
  <si>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</si>
  <si>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</si>
  <si>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</si>
  <si>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</si>
  <si>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</si>
  <si>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</si>
  <si>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</si>
  <si>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</si>
  <si>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</si>
  <si>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</si>
  <si>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</si>
  <si>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</si>
  <si>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</si>
  <si>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</si>
  <si>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</si>
  <si>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</si>
  <si>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</si>
  <si>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</si>
  <si>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</si>
  <si>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</si>
  <si>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</si>
  <si>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</si>
  <si>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</si>
  <si>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</si>
  <si>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</si>
  <si>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</si>
  <si>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</si>
  <si>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</si>
  <si>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</si>
  <si>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</si>
  <si>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</si>
  <si>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</si>
  <si>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</si>
  <si>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</si>
  <si>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</si>
  <si>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</si>
  <si>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</si>
  <si>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</si>
  <si>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</si>
  <si>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</si>
  <si>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</si>
  <si>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</si>
  <si>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</si>
  <si>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</si>
  <si>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</si>
  <si>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</si>
  <si>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</si>
  <si>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</si>
  <si>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</si>
  <si>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</si>
  <si>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</si>
  <si>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</si>
  <si>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</si>
  <si>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</si>
  <si>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</si>
  <si>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</si>
  <si>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</si>
  <si>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</si>
  <si>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</si>
  <si>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</si>
  <si>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</si>
  <si>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</si>
  <si>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</si>
  <si>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</si>
  <si>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</si>
  <si>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</si>
  <si>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</si>
  <si>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</si>
  <si>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</si>
  <si>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</si>
  <si>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</si>
  <si>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</si>
  <si>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</si>
  <si>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</si>
  <si>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</si>
  <si>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</si>
  <si>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</si>
  <si>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</si>
  <si>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</si>
  <si>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</si>
  <si>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</si>
  <si>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</si>
  <si>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</si>
  <si>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</si>
  <si>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</si>
  <si>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</si>
  <si>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</si>
  <si>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</si>
  <si>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</si>
  <si>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</si>
  <si>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</si>
  <si>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</si>
  <si>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</si>
  <si>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</si>
  <si>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</si>
  <si>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</si>
  <si>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</si>
  <si>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</si>
  <si>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</si>
  <si>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</si>
  <si>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</si>
  <si>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</si>
  <si>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</si>
  <si>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</si>
  <si>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</si>
  <si>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</si>
  <si>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</si>
  <si>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</si>
  <si>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</si>
  <si>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</si>
  <si>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</si>
  <si>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</si>
  <si>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</si>
  <si>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</si>
  <si>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</si>
  <si>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</si>
  <si>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</si>
  <si>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</si>
  <si>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</si>
  <si>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</si>
  <si>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</si>
  <si>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</si>
  <si>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</si>
  <si>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</si>
  <si>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</si>
  <si>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</si>
  <si>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</si>
  <si>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</si>
  <si>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</si>
  <si>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</si>
  <si>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</si>
  <si>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</si>
  <si>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</si>
  <si>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</si>
  <si>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</si>
  <si>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</si>
  <si>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</si>
  <si>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</si>
  <si>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</si>
  <si>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</si>
  <si>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</si>
  <si>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</si>
  <si>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</si>
  <si>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</si>
  <si>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</si>
  <si>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</si>
  <si>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</si>
  <si>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</si>
  <si>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</si>
  <si>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</si>
  <si>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</si>
  <si>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</si>
  <si>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</si>
  <si>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</si>
  <si>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</si>
  <si>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</si>
  <si>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</si>
  <si>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</si>
  <si>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</si>
  <si>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</si>
  <si>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</si>
  <si>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</si>
  <si>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</si>
  <si>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</si>
  <si>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</si>
  <si>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</si>
  <si>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</si>
  <si>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</si>
  <si>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</si>
  <si>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</si>
  <si>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</si>
  <si>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</si>
  <si>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</si>
  <si>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</si>
  <si>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</si>
  <si>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</si>
  <si>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</si>
  <si>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</si>
  <si>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</si>
  <si>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</si>
  <si>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</si>
  <si>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</si>
  <si>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</si>
  <si>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</si>
  <si>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</si>
  <si>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</si>
  <si>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</si>
  <si>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</si>
  <si>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</si>
  <si>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</si>
  <si>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</si>
  <si>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</si>
  <si>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</si>
  <si>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</si>
  <si>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</si>
  <si>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</si>
  <si>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</si>
  <si>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</si>
  <si>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</si>
  <si>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</si>
  <si>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</si>
  <si>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</si>
  <si>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</si>
  <si>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</si>
  <si>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</si>
  <si>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</si>
  <si>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</si>
  <si>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</si>
  <si>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</si>
  <si>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</si>
  <si>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</si>
  <si>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</si>
  <si>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</si>
  <si>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</si>
  <si>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</si>
  <si>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</si>
  <si>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</si>
  <si>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</si>
  <si>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</si>
  <si>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</si>
  <si>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</si>
  <si>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</si>
  <si>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</si>
  <si>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</si>
  <si>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</si>
  <si>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</si>
  <si>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</si>
  <si>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</si>
  <si>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</si>
  <si>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</si>
  <si>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</si>
  <si>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</si>
  <si>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</si>
  <si>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</si>
  <si>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</si>
  <si>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</si>
  <si>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</si>
  <si>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</si>
  <si>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</si>
  <si>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</si>
  <si>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</si>
  <si>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</si>
  <si>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</si>
  <si>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</si>
  <si>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</si>
  <si>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</si>
  <si>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</si>
  <si>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</si>
  <si>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</si>
  <si>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</si>
  <si>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</si>
  <si>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</si>
  <si>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</si>
  <si>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</si>
  <si>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</si>
  <si>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</si>
  <si>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</si>
  <si>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</si>
  <si>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</si>
  <si>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</si>
  <si>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</si>
  <si>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</si>
  <si>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</si>
  <si>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</si>
  <si>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</si>
  <si>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</si>
  <si>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</si>
  <si>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</si>
  <si>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</si>
  <si>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</si>
  <si>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</si>
  <si>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</si>
  <si>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</si>
  <si>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</si>
  <si>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</si>
  <si>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</si>
  <si>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</si>
  <si>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</si>
  <si>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</si>
  <si>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</si>
  <si>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</si>
  <si>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</si>
  <si>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</si>
  <si>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</si>
  <si>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</si>
  <si>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</si>
  <si>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</si>
  <si>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</si>
  <si>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</si>
  <si>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</si>
  <si>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</si>
  <si>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</si>
  <si>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</si>
  <si>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</si>
  <si>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</si>
  <si>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</si>
  <si>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</si>
  <si>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</si>
  <si>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</si>
  <si>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</si>
  <si>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</si>
  <si>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</si>
  <si>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</si>
  <si>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</si>
  <si>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</si>
  <si>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</si>
  <si>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</si>
  <si>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</si>
  <si>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</si>
  <si>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</si>
  <si>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</si>
  <si>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</si>
  <si>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</si>
  <si>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</si>
  <si>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</si>
  <si>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</si>
  <si>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</si>
  <si>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</si>
  <si>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</si>
  <si>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</si>
  <si>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</si>
  <si>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</si>
  <si>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</si>
  <si>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</si>
  <si>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</si>
  <si>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</si>
  <si>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</si>
  <si>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</si>
  <si>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</si>
  <si>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</si>
  <si>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</si>
  <si>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</si>
  <si>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</si>
  <si>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</si>
  <si>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</si>
  <si>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</si>
  <si>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</si>
  <si>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</si>
  <si>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</si>
  <si>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</si>
  <si>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</si>
  <si>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</si>
  <si>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</si>
  <si>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</si>
  <si>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</si>
  <si>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</si>
  <si>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</si>
  <si>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</si>
  <si>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</si>
  <si>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</si>
  <si>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</si>
  <si>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</si>
  <si>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</si>
  <si>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</si>
  <si>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</si>
  <si>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</si>
  <si>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</si>
  <si>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</si>
  <si>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</si>
  <si>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</si>
  <si>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</si>
  <si>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</si>
  <si>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</si>
  <si>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</si>
  <si>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</si>
  <si>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</si>
  <si>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</si>
  <si>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</si>
  <si>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</si>
  <si>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</si>
  <si>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</si>
  <si>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</si>
  <si>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</si>
  <si>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</si>
  <si>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</si>
  <si>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</si>
  <si>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</si>
  <si>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</si>
  <si>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</si>
  <si>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</si>
  <si>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</si>
  <si>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</si>
  <si>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</si>
  <si>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</si>
  <si>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</si>
  <si>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</si>
  <si>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</si>
  <si>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</si>
  <si>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</si>
  <si>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</si>
  <si>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</si>
  <si>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</si>
  <si>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</si>
  <si>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</si>
  <si>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</si>
  <si>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</si>
  <si>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</si>
  <si>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</si>
  <si>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</si>
  <si>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</si>
  <si>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</si>
  <si>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</si>
  <si>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</si>
  <si>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</si>
  <si>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</si>
  <si>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</si>
  <si>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</si>
  <si>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</si>
  <si>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</si>
  <si>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</si>
  <si>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</si>
  <si>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</si>
  <si>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</si>
  <si>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</si>
  <si>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</si>
  <si>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</si>
  <si>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</si>
  <si>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</si>
  <si>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</si>
  <si>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</si>
  <si>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</si>
  <si>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</si>
  <si>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</si>
  <si>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</si>
  <si>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</si>
  <si>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</si>
  <si>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</si>
  <si>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</si>
  <si>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</si>
  <si>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</si>
  <si>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</si>
  <si>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</si>
  <si>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</si>
  <si>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</si>
  <si>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</si>
  <si>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</si>
  <si>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</si>
  <si>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</si>
  <si>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</si>
  <si>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</si>
  <si>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</si>
  <si>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</si>
  <si>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</si>
  <si>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</si>
  <si>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</si>
  <si>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</si>
  <si>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</si>
  <si>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</si>
  <si>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</si>
  <si>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</si>
  <si>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</si>
  <si>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</si>
  <si>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</si>
  <si>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</si>
  <si>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</si>
  <si>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</si>
  <si>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</si>
  <si>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</si>
  <si>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</si>
  <si>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</si>
  <si>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</si>
  <si>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</si>
  <si>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</si>
  <si>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</si>
  <si>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</si>
  <si>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</si>
  <si>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</si>
  <si>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</si>
  <si>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</si>
  <si>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</si>
  <si>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</si>
  <si>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</si>
  <si>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</si>
  <si>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</si>
  <si>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</si>
  <si>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</si>
  <si>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</si>
  <si>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</si>
  <si>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</si>
  <si>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</si>
  <si>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</si>
  <si>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</si>
  <si>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</si>
  <si>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</si>
  <si>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</si>
  <si>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</si>
  <si>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</si>
  <si>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</si>
  <si>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</si>
  <si>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</si>
  <si>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</si>
  <si>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</si>
  <si>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</si>
  <si>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</si>
  <si>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</si>
  <si>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</si>
  <si>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</si>
  <si>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</si>
  <si>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</si>
  <si>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</si>
  <si>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</si>
  <si>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</si>
  <si>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</si>
  <si>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</si>
  <si>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</si>
  <si>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</si>
  <si>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</si>
  <si>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</si>
  <si>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</si>
  <si>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</si>
  <si>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</si>
  <si>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</si>
  <si>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</si>
  <si>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</si>
  <si>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</si>
  <si>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</si>
  <si>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</si>
  <si>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</si>
  <si>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</si>
  <si>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</si>
  <si>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</si>
  <si>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</si>
  <si>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</si>
  <si>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</si>
  <si>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</si>
  <si>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</si>
  <si>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</si>
  <si>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</si>
  <si>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</si>
  <si>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</si>
  <si>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</si>
  <si>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</si>
  <si>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</si>
  <si>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</si>
  <si>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</si>
  <si>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</si>
  <si>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</si>
  <si>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</si>
  <si>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</si>
  <si>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</si>
  <si>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</si>
  <si>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</si>
  <si>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</si>
  <si>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</si>
  <si>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</si>
  <si>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</si>
  <si>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</si>
  <si>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</si>
  <si>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</si>
  <si>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</si>
  <si>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</si>
  <si>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</si>
  <si>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</si>
  <si>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</si>
  <si>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</si>
  <si>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</si>
  <si>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</si>
  <si>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</si>
  <si>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</si>
  <si>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</si>
  <si>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</si>
  <si>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</si>
  <si>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</si>
  <si>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</si>
  <si>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</si>
  <si>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</si>
  <si>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</si>
  <si>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</si>
  <si>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</si>
  <si>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</si>
  <si>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</si>
  <si>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</si>
  <si>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</si>
  <si>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</si>
  <si>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</si>
  <si>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</si>
  <si>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</si>
  <si>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</si>
  <si>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</si>
  <si>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</si>
  <si>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</si>
  <si>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</si>
  <si>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</si>
  <si>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</si>
  <si>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</si>
  <si>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</si>
  <si>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</si>
  <si>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</si>
  <si>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</si>
  <si>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</si>
  <si>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</si>
  <si>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</si>
  <si>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</si>
  <si>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</si>
  <si>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</si>
  <si>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</si>
  <si>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</si>
  <si>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</si>
  <si>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</si>
  <si>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</si>
  <si>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</si>
  <si>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</si>
  <si>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</si>
  <si>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</si>
  <si>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</si>
  <si>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</si>
  <si>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</si>
  <si>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</si>
  <si>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</si>
  <si>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</si>
  <si>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</si>
  <si>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</si>
  <si>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</si>
  <si>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</si>
  <si>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</si>
  <si>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</si>
  <si>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</si>
  <si>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</si>
  <si>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</si>
  <si>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</si>
  <si>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</si>
  <si>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</si>
  <si>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</si>
  <si>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</si>
  <si>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</si>
  <si>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</si>
  <si>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</si>
  <si>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</si>
  <si>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</si>
  <si>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</si>
  <si>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</si>
  <si>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</si>
  <si>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</si>
  <si>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</si>
  <si>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</si>
  <si>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</si>
  <si>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</si>
  <si>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</si>
  <si>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</si>
  <si>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</si>
  <si>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</si>
  <si>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</si>
  <si>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</si>
  <si>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</si>
  <si>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</si>
  <si>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</si>
  <si>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</si>
  <si>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</si>
  <si>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</si>
  <si>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</si>
  <si>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</si>
  <si>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</si>
  <si>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</si>
  <si>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</si>
  <si>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</si>
  <si>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</si>
  <si>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</si>
  <si>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</si>
  <si>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</si>
  <si>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</si>
  <si>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</si>
  <si>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</si>
  <si>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</si>
  <si>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</si>
  <si>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</si>
  <si>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</si>
  <si>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</si>
  <si>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</si>
  <si>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</si>
  <si>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</si>
  <si>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</si>
  <si>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</si>
  <si>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</si>
  <si>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</si>
  <si>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</si>
  <si>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</si>
  <si>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</si>
  <si>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</si>
  <si>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</si>
  <si>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</si>
  <si>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</si>
  <si>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</si>
  <si>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</si>
  <si>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</si>
  <si>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</si>
  <si>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</si>
  <si>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</si>
  <si>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</si>
  <si>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</si>
  <si>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</si>
  <si>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</si>
  <si>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</si>
  <si>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</si>
  <si>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</si>
  <si>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</si>
  <si>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</si>
  <si>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</si>
  <si>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</si>
  <si>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</si>
  <si>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</si>
  <si>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</si>
  <si>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</si>
  <si>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</si>
  <si>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</si>
  <si>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</si>
  <si>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</si>
  <si>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</si>
  <si>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</si>
  <si>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</si>
  <si>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</si>
  <si>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</si>
  <si>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</si>
  <si>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</si>
  <si>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</si>
  <si>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</si>
  <si>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</si>
  <si>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</si>
  <si>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</si>
  <si>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</si>
  <si>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</si>
  <si>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</si>
  <si>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</si>
  <si>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</si>
  <si>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</si>
  <si>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</si>
  <si>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</si>
  <si>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</si>
  <si>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</si>
  <si>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</si>
  <si>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</si>
  <si>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</si>
  <si>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</si>
  <si>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</si>
  <si>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</si>
  <si>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</si>
  <si>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</si>
  <si>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</si>
  <si>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</si>
  <si>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</si>
  <si>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</si>
  <si>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</si>
  <si>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</si>
  <si>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</si>
  <si>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</si>
  <si>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</si>
  <si>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</si>
  <si>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</si>
  <si>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</si>
  <si>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</si>
  <si>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</si>
  <si>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</si>
  <si>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</si>
  <si>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</si>
  <si>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</si>
  <si>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</si>
  <si>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</si>
  <si>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</si>
  <si>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</si>
  <si>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</si>
  <si>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</si>
  <si>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</si>
  <si>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</si>
  <si>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</si>
  <si>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</si>
  <si>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</si>
  <si>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</si>
  <si>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</si>
  <si>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</si>
  <si>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</si>
  <si>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</si>
  <si>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</si>
  <si>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</si>
  <si>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</si>
  <si>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</si>
  <si>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</si>
  <si>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</si>
  <si>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</si>
  <si>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</si>
  <si>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</si>
  <si>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</si>
  <si>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</si>
  <si>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</si>
  <si>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</si>
  <si>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</si>
  <si>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</si>
  <si>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</si>
  <si>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</si>
  <si>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</si>
  <si>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</si>
  <si>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</si>
  <si>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</si>
  <si>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</si>
  <si>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</si>
  <si>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</si>
  <si>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</si>
  <si>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</si>
  <si>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</si>
  <si>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</si>
  <si>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</si>
  <si>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</si>
  <si>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</si>
  <si>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</si>
  <si>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</si>
  <si>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</si>
  <si>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</si>
  <si>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</si>
  <si>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</si>
  <si>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</si>
  <si>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</si>
  <si>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</si>
  <si>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</si>
  <si>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</si>
  <si>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</si>
  <si>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</si>
  <si>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</si>
  <si>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</si>
  <si>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</si>
  <si>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</si>
  <si>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</si>
  <si>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</si>
  <si>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</si>
  <si>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</si>
  <si>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</si>
  <si>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</si>
  <si>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</si>
  <si>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</si>
  <si>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</si>
  <si>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</si>
  <si>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</si>
  <si>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</si>
  <si>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</si>
  <si>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</si>
  <si>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</si>
  <si>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</si>
  <si>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</si>
  <si>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</si>
  <si>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</si>
  <si>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</si>
  <si>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</si>
  <si>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</si>
  <si>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</si>
  <si>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</si>
  <si>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</si>
  <si>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</si>
  <si>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</si>
  <si>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</si>
  <si>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</si>
  <si>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</si>
  <si>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</si>
  <si>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</si>
  <si>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</si>
  <si>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</si>
  <si>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</si>
  <si>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</si>
  <si>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</si>
  <si>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</si>
  <si>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</si>
  <si>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</si>
  <si>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</si>
  <si>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</si>
  <si>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</si>
  <si>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</si>
  <si>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</si>
  <si>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</si>
  <si>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</si>
  <si>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</si>
  <si>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</si>
  <si>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</si>
  <si>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</si>
  <si>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</si>
  <si>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</si>
  <si>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</si>
  <si>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</si>
  <si>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</si>
  <si>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</si>
  <si>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</si>
  <si>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</si>
  <si>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</si>
  <si>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</si>
  <si>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</si>
  <si>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</si>
  <si>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</si>
  <si>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</si>
  <si>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</si>
  <si>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</si>
  <si>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</si>
  <si>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</si>
  <si>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</si>
  <si>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</si>
  <si>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</si>
  <si>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</si>
  <si>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</si>
  <si>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</si>
  <si>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</si>
  <si>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</si>
  <si>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</si>
  <si>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</si>
  <si>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</si>
  <si>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</si>
  <si>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</si>
  <si>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</si>
  <si>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</si>
  <si>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</si>
  <si>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</si>
  <si>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</si>
  <si>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</si>
  <si>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</si>
  <si>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</si>
  <si>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</si>
  <si>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</si>
  <si>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</si>
  <si>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</si>
  <si>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</si>
  <si>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</si>
  <si>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</si>
  <si>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</si>
  <si>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</si>
  <si>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</si>
  <si>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</si>
  <si>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</si>
  <si>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</si>
  <si>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</si>
  <si>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</si>
  <si>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</si>
  <si>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</si>
  <si>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</si>
  <si>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</si>
  <si>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</si>
  <si>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</si>
  <si>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</si>
  <si>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</si>
  <si>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</si>
  <si>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</si>
  <si>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</si>
  <si>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</si>
  <si>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</si>
  <si>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</si>
  <si>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</si>
  <si>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</si>
  <si>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</si>
  <si>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</si>
  <si>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</si>
  <si>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</si>
  <si>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</si>
  <si>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</si>
  <si>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</si>
  <si>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</si>
  <si>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</si>
  <si>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</si>
  <si>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</si>
  <si>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</si>
  <si>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</si>
  <si>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</si>
  <si>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</si>
  <si>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</si>
  <si>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</si>
  <si>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</si>
  <si>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</si>
  <si>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</si>
  <si>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</si>
  <si>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</si>
  <si>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</si>
  <si>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</si>
  <si>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</si>
  <si>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</si>
  <si>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</si>
  <si>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</si>
  <si>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</si>
  <si>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</si>
  <si>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</si>
  <si>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</si>
  <si>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</si>
  <si>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</si>
  <si>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</si>
  <si>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</si>
  <si>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</si>
  <si>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</si>
  <si>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</si>
  <si>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</si>
  <si>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</si>
  <si>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</si>
  <si>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</si>
  <si>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</si>
  <si>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</si>
  <si>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</si>
  <si>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</si>
  <si>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</si>
  <si>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</si>
  <si>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</si>
  <si>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</si>
  <si>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</si>
  <si>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</si>
  <si>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</si>
  <si>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</si>
  <si>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</si>
  <si>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</si>
  <si>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</si>
  <si>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</si>
  <si>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</si>
  <si>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</si>
  <si>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</si>
  <si>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</si>
  <si>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</si>
  <si>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</si>
  <si>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</si>
  <si>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</si>
  <si>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</si>
  <si>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</si>
  <si>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</si>
  <si>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</si>
  <si>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</si>
  <si>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</si>
  <si>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</si>
  <si>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</si>
  <si>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</si>
  <si>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</si>
  <si>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</si>
  <si>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</si>
  <si>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</si>
  <si>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</si>
  <si>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</si>
  <si>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</si>
  <si>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</si>
  <si>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</si>
  <si>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</si>
  <si>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</si>
  <si>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</si>
  <si>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</si>
  <si>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</si>
  <si>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</si>
  <si>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</si>
  <si>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</si>
  <si>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</si>
  <si>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</si>
  <si>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</si>
  <si>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</si>
  <si>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</si>
  <si>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</si>
  <si>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</si>
  <si>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</si>
  <si>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</si>
  <si>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</si>
  <si>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</si>
  <si>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</si>
  <si>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</si>
  <si>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</si>
  <si>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</si>
  <si>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</si>
  <si>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</si>
  <si>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</si>
  <si>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</si>
  <si>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</si>
  <si>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</si>
  <si>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</si>
  <si>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</si>
  <si>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</si>
  <si>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</si>
  <si>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</si>
  <si>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</si>
  <si>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</si>
  <si>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</si>
  <si>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</si>
  <si>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</si>
  <si>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</si>
  <si>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</si>
  <si>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</si>
  <si>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</si>
  <si>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</si>
  <si>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</si>
  <si>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</si>
  <si>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</si>
  <si>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</si>
  <si>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</si>
  <si>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</si>
  <si>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</si>
  <si>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</si>
  <si>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</si>
  <si>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</si>
  <si>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</si>
  <si>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</si>
  <si>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</si>
  <si>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</si>
  <si>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</si>
  <si>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</si>
  <si>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</si>
  <si>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</si>
  <si>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</si>
  <si>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</si>
  <si>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</si>
  <si>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</si>
  <si>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</si>
  <si>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</si>
  <si>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</si>
  <si>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</si>
  <si>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</si>
  <si>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</si>
  <si>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</si>
  <si>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</si>
  <si>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</si>
  <si>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</si>
  <si>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</si>
  <si>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</si>
  <si>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</si>
  <si>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</si>
  <si>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</si>
  <si>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</si>
  <si>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</si>
  <si>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</si>
  <si>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</si>
  <si>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</si>
  <si>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</si>
  <si>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</si>
  <si>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</si>
  <si>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</si>
  <si>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</si>
  <si>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</si>
  <si>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</si>
  <si>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</si>
  <si>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</si>
  <si>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</si>
  <si>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</si>
  <si>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</si>
  <si>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</si>
  <si>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</si>
  <si>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</si>
  <si>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</si>
  <si>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</si>
  <si>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</si>
  <si>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</si>
  <si>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</si>
  <si>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</si>
  <si>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</si>
  <si>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</si>
  <si>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</si>
  <si>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</si>
  <si>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</si>
  <si>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</si>
  <si>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</si>
  <si>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</si>
  <si>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</si>
  <si>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</si>
  <si>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</si>
  <si>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</si>
  <si>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</si>
  <si>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</si>
  <si>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</si>
  <si>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</si>
  <si>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</si>
  <si>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</si>
  <si>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</si>
  <si>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</si>
  <si>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</si>
  <si>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</si>
  <si>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</si>
  <si>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</si>
  <si>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</si>
  <si>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</si>
  <si>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</si>
  <si>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</si>
  <si>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</si>
  <si>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</si>
  <si>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</si>
  <si>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</si>
  <si>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</si>
  <si>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</si>
  <si>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</si>
  <si>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</si>
  <si>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</si>
  <si>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</si>
  <si>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</si>
  <si>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</si>
  <si>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</si>
  <si>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</si>
  <si>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</si>
  <si>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</si>
  <si>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</si>
  <si>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</si>
  <si>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</si>
  <si>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</si>
  <si>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</si>
  <si>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</si>
  <si>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</si>
  <si>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</si>
  <si>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</si>
  <si>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</si>
  <si>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</si>
  <si>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</si>
  <si>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</si>
  <si>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</si>
  <si>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</si>
  <si>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</si>
  <si>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</si>
  <si>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</si>
  <si>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</si>
  <si>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</si>
  <si>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</si>
  <si>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</si>
  <si>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</si>
  <si>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</si>
  <si>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</si>
  <si>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</si>
  <si>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</si>
  <si>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</si>
  <si>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</si>
  <si>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</si>
  <si>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</si>
  <si>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</si>
  <si>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</si>
  <si>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</si>
  <si>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</si>
  <si>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</si>
  <si>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</si>
  <si>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</si>
  <si>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</si>
  <si>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</si>
  <si>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</si>
  <si>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</si>
  <si>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</si>
  <si>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</si>
  <si>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</si>
  <si>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</si>
  <si>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</si>
  <si>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</si>
  <si>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</si>
  <si>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</si>
  <si>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</si>
  <si>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</si>
  <si>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</si>
  <si>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</si>
  <si>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</si>
  <si>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</si>
  <si>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</si>
  <si>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</si>
  <si>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</si>
  <si>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</si>
  <si>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</si>
  <si>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</si>
  <si>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</si>
  <si>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</si>
  <si>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</si>
  <si>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</si>
  <si>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</si>
  <si>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</si>
  <si>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</si>
  <si>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</si>
  <si>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</si>
  <si>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</si>
  <si>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</si>
  <si>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</si>
  <si>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</si>
  <si>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</si>
  <si>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</si>
  <si>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</si>
  <si>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</si>
  <si>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</si>
  <si>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</si>
  <si>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</si>
  <si>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</si>
  <si>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</si>
  <si>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</si>
  <si>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</si>
  <si>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</si>
  <si>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</si>
  <si>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</si>
  <si>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</si>
  <si>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</si>
  <si>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</si>
  <si>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</si>
  <si>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</si>
  <si>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</si>
  <si>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</si>
  <si>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</si>
  <si>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</si>
  <si>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</si>
  <si>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</si>
  <si>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</si>
  <si>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</si>
  <si>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</si>
  <si>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</si>
  <si>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</si>
  <si>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</si>
  <si>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</si>
  <si>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</si>
  <si>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</si>
  <si>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</si>
  <si>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</si>
  <si>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</si>
  <si>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</si>
  <si>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</si>
  <si>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</si>
  <si>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</si>
  <si>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</si>
  <si>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</si>
  <si>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</si>
  <si>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</si>
  <si>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</si>
  <si>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</si>
  <si>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</si>
  <si>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</si>
  <si>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</si>
  <si>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</si>
  <si>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</si>
  <si>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</si>
  <si>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</si>
  <si>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</si>
  <si>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</si>
  <si>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</si>
  <si>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</si>
  <si>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</si>
  <si>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</si>
  <si>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</si>
  <si>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</si>
  <si>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</si>
  <si>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</si>
  <si>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</si>
  <si>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</si>
  <si>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</si>
  <si>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</si>
  <si>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</si>
  <si>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</si>
  <si>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</si>
  <si>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</si>
  <si>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</si>
  <si>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</si>
  <si>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</si>
  <si>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</si>
  <si>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</si>
  <si>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</si>
  <si>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</si>
  <si>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</si>
  <si>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</si>
  <si>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</si>
  <si>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</si>
  <si>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</si>
  <si>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</si>
  <si>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</si>
  <si>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</si>
  <si>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</si>
  <si>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</si>
  <si>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</si>
  <si>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</si>
  <si>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</si>
  <si>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</si>
  <si>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</si>
  <si>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</si>
  <si>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</si>
  <si>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</si>
  <si>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</si>
  <si>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</si>
  <si>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</si>
  <si>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</si>
  <si>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</si>
  <si>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</si>
  <si>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</si>
  <si>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</si>
  <si>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</si>
  <si>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</si>
  <si>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</si>
  <si>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</si>
  <si>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</si>
  <si>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</si>
  <si>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</si>
  <si>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</si>
  <si>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</si>
  <si>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</si>
  <si>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</si>
  <si>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</si>
  <si>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</si>
  <si>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</si>
  <si>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</si>
  <si>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</si>
  <si>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</si>
  <si>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</si>
  <si>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</si>
  <si>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</si>
  <si>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</si>
  <si>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</si>
  <si>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</si>
  <si>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</si>
  <si>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</si>
  <si>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</si>
  <si>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</si>
  <si>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</si>
  <si>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</si>
  <si>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</si>
  <si>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</si>
  <si>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</si>
  <si>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</si>
  <si>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</si>
  <si>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</si>
  <si>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</si>
  <si>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</si>
  <si>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</si>
  <si>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</si>
  <si>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</si>
  <si>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</si>
  <si>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</si>
  <si>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</si>
  <si>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</si>
  <si>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</si>
  <si>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</si>
  <si>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</si>
  <si>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</si>
  <si>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</si>
  <si>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</si>
  <si>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</si>
  <si>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</si>
  <si>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</si>
  <si>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</si>
  <si>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</si>
  <si>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</si>
  <si>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</si>
  <si>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</si>
  <si>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</si>
  <si>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</si>
  <si>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</si>
  <si>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</si>
  <si>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</si>
  <si>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</si>
  <si>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</si>
  <si>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</si>
  <si>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</si>
  <si>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</si>
  <si>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</si>
  <si>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</si>
  <si>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</si>
  <si>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</si>
  <si>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</si>
  <si>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</si>
  <si>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</si>
  <si>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</si>
  <si>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</si>
  <si>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</si>
  <si>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</si>
  <si>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</si>
  <si>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</si>
  <si>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</si>
  <si>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</si>
  <si>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</si>
  <si>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</si>
  <si>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</si>
  <si>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</si>
  <si>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</si>
  <si>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</si>
  <si>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</si>
  <si>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</si>
  <si>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</si>
  <si>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</si>
  <si>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</si>
  <si>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</si>
  <si>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</si>
  <si>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</si>
  <si>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</si>
  <si>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</si>
  <si>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</si>
  <si>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</si>
  <si>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</si>
  <si>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</si>
  <si>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</si>
  <si>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</si>
  <si>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</si>
  <si>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</si>
  <si>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</si>
  <si>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</si>
  <si>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</si>
  <si>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</si>
  <si>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</si>
  <si>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</si>
  <si>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</si>
  <si>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</si>
  <si>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</si>
  <si>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</si>
  <si>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</si>
  <si>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</si>
  <si>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</si>
  <si>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</si>
  <si>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</si>
  <si>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</si>
  <si>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</si>
  <si>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</si>
  <si>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</si>
  <si>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</si>
  <si>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</si>
  <si>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</si>
  <si>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</si>
  <si>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</si>
  <si>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</si>
  <si>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</si>
  <si>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</si>
  <si>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</si>
  <si>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</si>
  <si>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</si>
  <si>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</si>
  <si>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</si>
  <si>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</si>
  <si>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</si>
  <si>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</si>
  <si>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</si>
  <si>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</si>
  <si>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</si>
  <si>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</si>
  <si>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</si>
  <si>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</si>
  <si>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</si>
  <si>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</si>
  <si>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</si>
  <si>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</si>
  <si>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</si>
  <si>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</si>
  <si>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</si>
  <si>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</si>
  <si>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</si>
  <si>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</si>
  <si>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</si>
  <si>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</si>
  <si>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</si>
  <si>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</si>
  <si>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</si>
  <si>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</si>
  <si>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</si>
  <si>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</si>
  <si>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</si>
  <si>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</si>
  <si>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</si>
  <si>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</si>
  <si>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</si>
  <si>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</si>
  <si>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</si>
  <si>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</si>
  <si>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</si>
  <si>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</si>
  <si>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</si>
  <si>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</si>
  <si>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</si>
  <si>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</si>
  <si>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</si>
  <si>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</si>
  <si>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</si>
  <si>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</si>
  <si>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</si>
  <si>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</si>
  <si>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</si>
  <si>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</si>
  <si>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</si>
  <si>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</si>
  <si>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</si>
  <si>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</si>
  <si>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</si>
  <si>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</si>
  <si>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</si>
  <si>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</si>
  <si>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</si>
  <si>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</si>
  <si>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</si>
  <si>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</si>
  <si>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</si>
  <si>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</si>
  <si>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</si>
  <si>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</si>
  <si>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</si>
  <si>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</si>
  <si>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</si>
  <si>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</si>
  <si>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</si>
  <si>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</si>
  <si>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</si>
  <si>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</si>
  <si>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</si>
  <si>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</si>
  <si>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</si>
  <si>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</si>
  <si>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</si>
  <si>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</si>
  <si>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</si>
  <si>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</si>
  <si>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</si>
  <si>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</si>
  <si>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</si>
  <si>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</si>
  <si>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</si>
  <si>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</si>
  <si>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</si>
  <si>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</si>
  <si>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</si>
  <si>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</si>
  <si>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</si>
  <si>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</si>
  <si>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</si>
  <si>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</si>
  <si>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</si>
  <si>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</si>
  <si>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</si>
  <si>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</si>
  <si>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</si>
  <si>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</si>
  <si>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</si>
  <si>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</si>
  <si>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</si>
  <si>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</si>
  <si>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</si>
  <si>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</si>
  <si>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</si>
  <si>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</si>
  <si>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</si>
  <si>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</si>
  <si>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</si>
  <si>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</si>
  <si>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</si>
  <si>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</si>
  <si>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</si>
  <si>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</si>
  <si>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</si>
  <si>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</si>
  <si>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</si>
  <si>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</si>
  <si>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</si>
  <si>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</si>
  <si>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</si>
  <si>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</si>
  <si>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</si>
  <si>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</si>
  <si>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</si>
  <si>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</si>
  <si>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</si>
  <si>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</si>
  <si>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</si>
  <si>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</si>
  <si>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</si>
  <si>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</si>
  <si>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</si>
  <si>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</si>
  <si>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</si>
  <si>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</si>
  <si>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</si>
  <si>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</si>
  <si>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</si>
  <si>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</si>
  <si>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</si>
  <si>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</si>
  <si>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</si>
  <si>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</si>
  <si>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</si>
  <si>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</si>
  <si>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</si>
  <si>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</si>
  <si>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</si>
  <si>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</si>
  <si>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</si>
  <si>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</si>
  <si>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</si>
  <si>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</si>
  <si>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</si>
  <si>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</si>
  <si>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</si>
  <si>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</si>
  <si>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</si>
  <si>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</si>
  <si>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</si>
  <si>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</si>
  <si>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</si>
  <si>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</si>
  <si>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</si>
  <si>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</si>
  <si>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</si>
  <si>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</si>
  <si>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</si>
  <si>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</si>
  <si>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</si>
  <si>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</si>
  <si>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</si>
  <si>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</si>
  <si>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</si>
  <si>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</si>
  <si>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</si>
  <si>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</si>
  <si>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</si>
  <si>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</si>
  <si>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</si>
  <si>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</si>
  <si>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</si>
  <si>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</si>
  <si>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</si>
  <si>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</si>
  <si>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</si>
  <si>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</si>
  <si>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</si>
  <si>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</si>
  <si>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</si>
  <si>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</si>
  <si>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</si>
  <si>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</si>
  <si>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</si>
  <si>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</si>
  <si>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</si>
  <si>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</si>
  <si>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</si>
  <si>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</si>
  <si>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</si>
  <si>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</si>
  <si>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</si>
  <si>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</si>
  <si>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</si>
  <si>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</si>
  <si>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</si>
  <si>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</si>
  <si>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</si>
  <si>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</si>
  <si>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</si>
  <si>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</si>
  <si>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</si>
  <si>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</si>
  <si>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</si>
  <si>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</si>
  <si>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</si>
  <si>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</si>
  <si>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</si>
  <si>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</si>
  <si>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</si>
  <si>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</si>
  <si>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</si>
  <si>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</si>
  <si>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</si>
  <si>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</si>
  <si>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</si>
  <si>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</si>
  <si>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</si>
  <si>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</si>
  <si>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</si>
  <si>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</si>
  <si>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</si>
  <si>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</si>
  <si>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</si>
  <si>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</si>
  <si>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</si>
  <si>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</si>
  <si>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</si>
  <si>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</si>
  <si>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</si>
  <si>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</si>
  <si>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</si>
  <si>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</si>
  <si>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</si>
  <si>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</si>
  <si>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</si>
  <si>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</si>
  <si>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</si>
  <si>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</si>
  <si>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</si>
  <si>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</si>
  <si>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</si>
  <si>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</si>
  <si>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</si>
  <si>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</si>
  <si>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</si>
  <si>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</si>
  <si>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</si>
  <si>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</si>
  <si>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</si>
  <si>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</si>
  <si>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</si>
  <si>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</si>
  <si>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</si>
  <si>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</si>
  <si>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</si>
  <si>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</si>
  <si>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</si>
  <si>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</si>
  <si>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</si>
  <si>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</si>
  <si>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</si>
  <si>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</si>
  <si>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</si>
  <si>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</si>
  <si>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</si>
  <si>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</si>
  <si>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</si>
  <si>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</si>
  <si>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</si>
  <si>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</si>
  <si>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</si>
  <si>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</si>
  <si>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</si>
  <si>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</si>
  <si>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</si>
  <si>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</si>
  <si>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</si>
  <si>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</si>
  <si>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</si>
  <si>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</si>
  <si>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</si>
  <si>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</si>
  <si>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</si>
  <si>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</si>
  <si>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</si>
  <si>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</si>
  <si>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</si>
  <si>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</si>
  <si>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</si>
  <si>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</si>
  <si>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</si>
  <si>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</si>
  <si>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</si>
  <si>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</si>
  <si>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</si>
  <si>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</si>
  <si>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</si>
  <si>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</si>
  <si>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</si>
  <si>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</si>
  <si>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</si>
  <si>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</si>
  <si>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</si>
  <si>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</si>
  <si>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</si>
  <si>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</si>
  <si>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</si>
  <si>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</si>
  <si>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</si>
  <si>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</si>
  <si>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</si>
  <si>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</si>
  <si>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</si>
  <si>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</si>
  <si>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</si>
  <si>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</si>
  <si>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</si>
  <si>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</si>
  <si>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</si>
  <si>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</si>
  <si>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</si>
  <si>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</si>
  <si>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</si>
  <si>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</si>
  <si>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</si>
  <si>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</si>
  <si>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</si>
  <si>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</si>
  <si>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</si>
  <si>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</si>
  <si>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</si>
  <si>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</si>
  <si>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</si>
  <si>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</si>
  <si>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</si>
  <si>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</si>
  <si>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</si>
  <si>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</si>
  <si>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</si>
  <si>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</si>
  <si>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</si>
  <si>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</si>
  <si>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</si>
  <si>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</si>
  <si>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</si>
  <si>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</si>
  <si>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</si>
  <si>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</si>
  <si>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</si>
  <si>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</si>
  <si>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</si>
  <si>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</si>
  <si>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</si>
  <si>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</si>
  <si>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</si>
  <si>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</si>
  <si>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</si>
  <si>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</si>
  <si>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</si>
  <si>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</si>
  <si>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</si>
  <si>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</si>
  <si>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</si>
  <si>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</si>
  <si>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</si>
  <si>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</si>
  <si>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</si>
  <si>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</si>
  <si>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</si>
  <si>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</si>
  <si>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</si>
  <si>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</si>
  <si>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</si>
  <si>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</si>
  <si>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</si>
  <si>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</si>
  <si>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</si>
  <si>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</si>
  <si>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</si>
  <si>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</si>
  <si>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</si>
  <si>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</si>
  <si>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</si>
  <si>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</si>
  <si>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</si>
  <si>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</si>
  <si>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</si>
  <si>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</si>
  <si>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</si>
  <si>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</si>
  <si>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</si>
  <si>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</si>
  <si>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</si>
  <si>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</si>
  <si>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</si>
  <si>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</si>
  <si>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</si>
  <si>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</si>
  <si>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</si>
  <si>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</si>
  <si>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</si>
  <si>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</si>
  <si>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</si>
  <si>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</si>
  <si>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</si>
  <si>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</si>
  <si>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</si>
  <si>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</si>
  <si>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</si>
  <si>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</si>
  <si>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</si>
  <si>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</si>
  <si>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</si>
  <si>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</si>
  <si>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</si>
  <si>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</si>
  <si>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</si>
  <si>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</si>
  <si>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</si>
  <si>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</si>
  <si>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</si>
  <si>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</si>
  <si>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</si>
  <si>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</si>
  <si>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</si>
  <si>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</si>
  <si>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</si>
  <si>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</si>
  <si>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</si>
  <si>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</si>
  <si>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</si>
  <si>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</si>
  <si>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</si>
  <si>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</si>
  <si>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</si>
  <si>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</si>
  <si>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</si>
  <si>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</si>
  <si>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</si>
  <si>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</si>
  <si>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</si>
  <si>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</si>
  <si>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</si>
  <si>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</si>
  <si>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</si>
  <si>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</si>
  <si>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</si>
  <si>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</si>
  <si>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</si>
  <si>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</si>
  <si>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</si>
  <si>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</si>
  <si>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</si>
  <si>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</si>
  <si>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</si>
  <si>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</si>
  <si>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</si>
  <si>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</si>
  <si>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</si>
  <si>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</si>
  <si>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</si>
  <si>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</si>
  <si>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</si>
  <si>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</si>
  <si>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</si>
  <si>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</si>
  <si>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</si>
  <si>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</si>
  <si>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</si>
  <si>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</si>
  <si>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</si>
  <si>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</si>
  <si>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</si>
  <si>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</si>
  <si>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</si>
  <si>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</si>
  <si>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</si>
  <si>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</si>
  <si>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</si>
  <si>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</si>
  <si>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</si>
  <si>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</si>
  <si>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</si>
  <si>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</si>
  <si>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</si>
  <si>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</si>
  <si>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</si>
  <si>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</si>
  <si>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</si>
  <si>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</si>
  <si>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</si>
  <si>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</si>
  <si>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</si>
  <si>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</si>
  <si>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</si>
  <si>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</si>
  <si>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</si>
  <si>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</si>
  <si>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</si>
  <si>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</si>
  <si>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</si>
  <si>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</si>
  <si>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</si>
  <si>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</si>
  <si>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</si>
  <si>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</si>
  <si>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</si>
  <si>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</si>
  <si>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</si>
  <si>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</si>
  <si>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</si>
  <si>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</si>
  <si>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</si>
  <si>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</si>
  <si>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</si>
  <si>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</si>
  <si>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</si>
  <si>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</si>
  <si>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</si>
  <si>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</si>
  <si>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</si>
  <si>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</si>
  <si>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</si>
  <si>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</si>
  <si>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</si>
  <si>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</si>
  <si>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</si>
  <si>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</si>
  <si>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</si>
  <si>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</si>
  <si>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</si>
  <si>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</si>
  <si>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</si>
  <si>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</si>
  <si>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</si>
  <si>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</si>
  <si>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</si>
  <si>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</si>
  <si>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</si>
  <si>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</si>
  <si>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</si>
  <si>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</si>
  <si>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</si>
  <si>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</si>
  <si>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</si>
  <si>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</si>
  <si>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</si>
  <si>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</si>
  <si>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</si>
  <si>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</si>
  <si>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</si>
  <si>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</si>
  <si>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</si>
  <si>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</si>
  <si>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</si>
  <si>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</si>
  <si>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</si>
  <si>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</si>
  <si>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</si>
  <si>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</si>
  <si>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</si>
  <si>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</si>
  <si>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</si>
  <si>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</si>
  <si>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</si>
  <si>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</si>
  <si>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</si>
  <si>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</si>
  <si>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</si>
  <si>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</si>
  <si>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</si>
  <si>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</si>
  <si>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</si>
  <si>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</si>
  <si>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</si>
  <si>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</si>
  <si>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</si>
  <si>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</si>
  <si>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</si>
  <si>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</si>
  <si>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</si>
  <si>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</si>
  <si>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</si>
  <si>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</si>
  <si>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</si>
  <si>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</si>
  <si>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</si>
  <si>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</si>
  <si>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</si>
  <si>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</si>
  <si>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</si>
  <si>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</si>
  <si>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</si>
  <si>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</si>
  <si>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</si>
  <si>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</si>
  <si>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</si>
  <si>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</si>
  <si>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</si>
  <si>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</si>
  <si>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</si>
  <si>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</si>
  <si>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</si>
  <si>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</si>
  <si>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</si>
  <si>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</si>
  <si>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</si>
  <si>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</si>
  <si>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</si>
  <si>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</si>
  <si>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</si>
  <si>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</si>
  <si>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</si>
  <si>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</si>
  <si>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</si>
  <si>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</si>
  <si>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</si>
  <si>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</si>
  <si>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</si>
  <si>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</si>
  <si>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</si>
  <si>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</si>
  <si>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</si>
  <si>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</si>
  <si>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</si>
  <si>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</si>
  <si>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</si>
  <si>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</si>
  <si>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</si>
  <si>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</si>
  <si>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</si>
  <si>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</si>
  <si>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</si>
  <si>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</si>
  <si>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</si>
  <si>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</si>
  <si>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</si>
  <si>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</si>
  <si>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</si>
  <si>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</si>
  <si>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</si>
  <si>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</si>
  <si>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</si>
  <si>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</si>
  <si>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</si>
  <si>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</si>
  <si>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</si>
  <si>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</si>
  <si>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</si>
  <si>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</si>
  <si>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</si>
  <si>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</si>
  <si>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</si>
  <si>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</si>
  <si>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</si>
  <si>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</si>
  <si>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</si>
  <si>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</si>
  <si>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</si>
  <si>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</si>
  <si>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</si>
  <si>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</si>
  <si>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</si>
  <si>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</si>
  <si>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</si>
  <si>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</si>
  <si>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</si>
  <si>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</si>
  <si>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</si>
  <si>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</si>
  <si>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</si>
  <si>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</si>
  <si>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</si>
  <si>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</si>
  <si>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</si>
  <si>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</si>
  <si>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</si>
  <si>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</si>
  <si>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</si>
  <si>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</si>
  <si>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</si>
  <si>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</si>
  <si>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</si>
  <si>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</si>
  <si>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</si>
  <si>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</si>
  <si>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</si>
  <si>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</si>
  <si>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</si>
  <si>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</si>
  <si>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</si>
  <si>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</si>
  <si>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</si>
  <si>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</si>
  <si>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</si>
  <si>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</si>
  <si>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</si>
  <si>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</si>
  <si>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</si>
  <si>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</si>
  <si>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</si>
  <si>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</si>
  <si>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</si>
  <si>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</si>
  <si>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</si>
  <si>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</si>
  <si>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</si>
  <si>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</si>
  <si>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</si>
  <si>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</si>
  <si>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</si>
  <si>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</si>
  <si>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</si>
  <si>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</si>
  <si>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</si>
  <si>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</si>
  <si>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</si>
  <si>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</si>
  <si>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</si>
  <si>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</si>
  <si>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</si>
  <si>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</si>
  <si>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</si>
  <si>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</si>
  <si>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</si>
  <si>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</si>
  <si>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</si>
  <si>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</si>
  <si>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</si>
  <si>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</si>
  <si>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</si>
  <si>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</si>
  <si>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</si>
  <si>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</si>
  <si>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</si>
  <si>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</si>
  <si>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</si>
  <si>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</si>
  <si>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</si>
  <si>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</si>
  <si>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</si>
  <si>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</si>
  <si>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</si>
  <si>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</si>
  <si>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</si>
  <si>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</si>
  <si>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</si>
  <si>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</si>
  <si>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</si>
  <si>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</si>
  <si>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</si>
  <si>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</si>
  <si>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</si>
  <si>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</si>
  <si>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</si>
  <si>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</si>
  <si>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</si>
  <si>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</si>
  <si>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</si>
  <si>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</si>
  <si>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</si>
  <si>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</si>
  <si>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</si>
  <si>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</si>
  <si>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</si>
  <si>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</si>
  <si>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</si>
  <si>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</si>
  <si>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</si>
  <si>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</si>
  <si>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</si>
  <si>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</si>
  <si>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</si>
  <si>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</si>
  <si>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</si>
  <si>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</si>
  <si>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</si>
  <si>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</si>
  <si>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</si>
  <si>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</si>
  <si>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</si>
  <si>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</si>
  <si>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</si>
  <si>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</si>
  <si>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</si>
  <si>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</si>
  <si>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</si>
  <si>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</si>
  <si>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</si>
  <si>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</si>
  <si>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</si>
  <si>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</si>
  <si>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</si>
  <si>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</si>
  <si>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</si>
  <si>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</si>
  <si>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</si>
  <si>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</si>
  <si>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</si>
  <si>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</si>
  <si>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</si>
  <si>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</si>
  <si>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</si>
  <si>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</si>
  <si>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</si>
  <si>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</si>
  <si>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</si>
  <si>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</si>
  <si>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</si>
  <si>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</si>
  <si>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</si>
  <si>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</si>
  <si>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</si>
  <si>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</si>
  <si>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</si>
  <si>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</si>
  <si>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</si>
  <si>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</si>
  <si>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</si>
  <si>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</si>
  <si>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</si>
  <si>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</si>
  <si>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</si>
  <si>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</si>
  <si>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</si>
  <si>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</si>
  <si>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</si>
  <si>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</si>
  <si>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</si>
  <si>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</si>
  <si>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</si>
  <si>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</si>
  <si>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</si>
  <si>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</si>
  <si>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</si>
  <si>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</si>
  <si>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</si>
  <si>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</si>
  <si>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</si>
  <si>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</si>
  <si>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</si>
  <si>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</si>
  <si>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</si>
  <si>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</si>
  <si>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</si>
  <si>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</si>
  <si>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</si>
  <si>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</si>
  <si>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</si>
  <si>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</si>
  <si>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</si>
  <si>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</si>
  <si>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</si>
  <si>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</si>
  <si>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</si>
  <si>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</si>
  <si>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</si>
  <si>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</si>
  <si>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</si>
  <si>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</si>
  <si>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</si>
  <si>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</si>
  <si>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</si>
  <si>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</si>
  <si>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</si>
  <si>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</si>
  <si>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</si>
  <si>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</si>
  <si>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</si>
  <si>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</si>
  <si>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</si>
  <si>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</si>
  <si>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</si>
  <si>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</si>
  <si>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</si>
  <si>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</si>
  <si>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</si>
  <si>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</si>
  <si>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</si>
  <si>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</si>
  <si>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</si>
  <si>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</si>
  <si>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</si>
  <si>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</si>
  <si>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</si>
  <si>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</si>
  <si>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</si>
  <si>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</si>
  <si>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</si>
  <si>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</si>
  <si>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</si>
  <si>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</si>
  <si>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</si>
  <si>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</si>
  <si>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</si>
  <si>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</si>
  <si>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</si>
  <si>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</si>
  <si>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</si>
  <si>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</si>
  <si>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</si>
  <si>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</si>
  <si>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</si>
  <si>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</si>
  <si>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</si>
  <si>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</si>
  <si>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</si>
  <si>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</si>
  <si>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</si>
  <si>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</si>
  <si>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</si>
  <si>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</si>
  <si>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</si>
  <si>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</si>
  <si>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</si>
  <si>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</si>
  <si>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</si>
  <si>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</si>
  <si>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</si>
  <si>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</si>
  <si>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</si>
  <si>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</si>
  <si>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</si>
  <si>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</si>
  <si>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</si>
  <si>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</si>
  <si>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</si>
  <si>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</si>
  <si>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</si>
  <si>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</si>
  <si>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</si>
  <si>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</si>
  <si>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</si>
  <si>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</si>
  <si>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</si>
  <si>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</si>
  <si>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</si>
  <si>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</si>
  <si>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</si>
  <si>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</si>
  <si>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</si>
  <si>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</si>
  <si>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</si>
  <si>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</si>
  <si>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</si>
  <si>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</si>
  <si>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</si>
  <si>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</si>
  <si>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</si>
  <si>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</si>
  <si>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</si>
  <si>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</si>
  <si>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</si>
  <si>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</si>
  <si>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</si>
  <si>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</si>
  <si>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</si>
  <si>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</si>
  <si>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</si>
  <si>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</si>
  <si>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</si>
  <si>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</si>
  <si>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</si>
  <si>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</si>
  <si>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</si>
  <si>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</si>
  <si>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</si>
  <si>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</si>
  <si>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</si>
  <si>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</si>
  <si>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</si>
  <si>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</si>
  <si>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</si>
  <si>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</si>
  <si>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</si>
  <si>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</si>
  <si>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</si>
  <si>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</si>
  <si>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</si>
  <si>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</si>
  <si>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</si>
  <si>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</si>
  <si>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</si>
  <si>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</si>
  <si>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</si>
  <si>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</si>
  <si>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</si>
  <si>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</si>
  <si>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</si>
  <si>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</si>
  <si>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</si>
  <si>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</si>
  <si>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</si>
  <si>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</si>
  <si>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</si>
  <si>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</si>
  <si>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</si>
  <si>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</si>
  <si>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</si>
  <si>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</si>
  <si>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</si>
  <si>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</si>
  <si>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</si>
  <si>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</si>
  <si>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</si>
  <si>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</si>
  <si>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</si>
  <si>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</si>
  <si>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</si>
  <si>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</si>
  <si>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</si>
  <si>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</si>
  <si>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</si>
  <si>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</si>
  <si>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</si>
  <si>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</si>
  <si>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</si>
  <si>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</si>
  <si>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</si>
  <si>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</si>
  <si>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</si>
  <si>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</si>
  <si>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</si>
  <si>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</si>
  <si>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</si>
  <si>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</si>
  <si>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</si>
  <si>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</si>
  <si>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</si>
  <si>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</si>
  <si>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</si>
  <si>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</si>
  <si>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</si>
  <si>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</si>
  <si>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</si>
  <si>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</si>
  <si>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</si>
  <si>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</si>
  <si>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</si>
  <si>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</si>
  <si>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</si>
  <si>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</si>
  <si>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</si>
  <si>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</si>
  <si>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</si>
  <si>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</si>
  <si>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</si>
  <si>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</si>
  <si>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</si>
  <si>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</si>
  <si>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</si>
  <si>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</si>
  <si>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</si>
  <si>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</si>
  <si>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</si>
  <si>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</si>
  <si>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</si>
  <si>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</si>
  <si>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</si>
  <si>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</si>
  <si>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</si>
  <si>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</si>
  <si>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</si>
  <si>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</si>
  <si>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</si>
  <si>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</si>
  <si>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</si>
  <si>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</si>
  <si>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</si>
  <si>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</si>
  <si>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</si>
  <si>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</si>
  <si>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</si>
  <si>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</si>
  <si>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</si>
  <si>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</si>
  <si>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</si>
  <si>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</si>
  <si>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</si>
  <si>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</si>
  <si>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</si>
  <si>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</si>
  <si>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</si>
  <si>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</si>
  <si>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</si>
  <si>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</si>
  <si>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</si>
  <si>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</si>
  <si>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</si>
  <si>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</si>
  <si>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</si>
  <si>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</si>
  <si>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</si>
  <si>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</si>
  <si>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</si>
  <si>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</si>
  <si>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</si>
  <si>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</si>
  <si>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</si>
  <si>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</si>
  <si>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</si>
  <si>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</si>
  <si>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</si>
  <si>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</si>
  <si>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</si>
  <si>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</si>
  <si>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</si>
  <si>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</si>
  <si>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</si>
  <si>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</si>
  <si>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</si>
  <si>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</si>
  <si>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</si>
  <si>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</si>
  <si>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</si>
  <si>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</si>
  <si>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</si>
  <si>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</si>
  <si>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</si>
  <si>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</si>
  <si>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</si>
  <si>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</si>
  <si>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</si>
  <si>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</si>
  <si>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</si>
  <si>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</si>
  <si>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</si>
  <si>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</si>
  <si>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</si>
  <si>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</si>
  <si>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</si>
  <si>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</si>
  <si>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</si>
  <si>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</si>
  <si>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</si>
  <si>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</si>
  <si>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</si>
  <si>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</si>
  <si>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</si>
  <si>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</si>
  <si>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</si>
  <si>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</si>
  <si>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</si>
  <si>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</si>
  <si>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</si>
  <si>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</si>
  <si>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</si>
  <si>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</si>
  <si>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</si>
  <si>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</si>
  <si>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</si>
  <si>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</si>
  <si>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</si>
  <si>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</si>
  <si>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</si>
  <si>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</si>
  <si>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</si>
  <si>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</si>
  <si>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</si>
  <si>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</si>
  <si>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</si>
  <si>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</si>
  <si>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</si>
  <si>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</si>
  <si>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</si>
  <si>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</si>
  <si>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</si>
  <si>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</si>
  <si>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</si>
  <si>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</si>
  <si>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</si>
  <si>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</si>
  <si>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</si>
  <si>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</si>
  <si>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</si>
  <si>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</si>
  <si>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</si>
  <si>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</si>
  <si>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</si>
  <si>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</si>
  <si>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</si>
  <si>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</si>
  <si>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</si>
  <si>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</si>
  <si>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</si>
  <si>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</si>
  <si>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</si>
  <si>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</si>
  <si>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</si>
  <si>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</si>
  <si>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</si>
  <si>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</si>
  <si>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</si>
  <si>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</si>
  <si>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</si>
  <si>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</si>
  <si>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</si>
  <si>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</si>
  <si>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</si>
  <si>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</si>
  <si>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</si>
  <si>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</si>
  <si>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</si>
  <si>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</si>
  <si>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</si>
  <si>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</si>
  <si>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</si>
  <si>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</si>
  <si>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</si>
  <si>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</si>
  <si>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</si>
  <si>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</si>
  <si>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</si>
  <si>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</si>
  <si>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</si>
  <si>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</si>
  <si>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</si>
  <si>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</si>
  <si>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</si>
  <si>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</si>
  <si>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</si>
  <si>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</si>
  <si>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</si>
  <si>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</si>
  <si>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</si>
  <si>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</si>
  <si>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</si>
  <si>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</si>
  <si>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</si>
  <si>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</si>
  <si>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</si>
  <si>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</si>
  <si>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</si>
  <si>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</si>
  <si>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</si>
  <si>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</si>
  <si>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</si>
  <si>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</si>
  <si>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</si>
  <si>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</si>
  <si>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</si>
  <si>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</si>
  <si>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</si>
  <si>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</si>
  <si>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</si>
  <si>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</si>
  <si>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</si>
  <si>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</si>
  <si>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</si>
  <si>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</si>
  <si>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</si>
  <si>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</si>
  <si>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</si>
  <si>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</si>
  <si>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</si>
  <si>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</si>
  <si>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</si>
  <si>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</si>
  <si>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</si>
  <si>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</si>
  <si>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</si>
  <si>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</si>
  <si>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</si>
  <si>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</si>
  <si>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</si>
  <si>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</si>
  <si>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</si>
  <si>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</si>
  <si>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</si>
  <si>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</si>
  <si>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</si>
  <si>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</si>
  <si>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</si>
  <si>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</si>
  <si>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</si>
  <si>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</si>
  <si>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</si>
  <si>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</si>
  <si>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</si>
  <si>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</si>
  <si>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</si>
  <si>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</si>
  <si>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</si>
  <si>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</si>
  <si>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</si>
  <si>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</si>
  <si>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</si>
  <si>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</si>
  <si>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</si>
  <si>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</si>
  <si>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</si>
  <si>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</si>
  <si>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</si>
  <si>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</si>
  <si>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</si>
  <si>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</si>
  <si>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</si>
  <si>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</si>
  <si>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</si>
  <si>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</si>
  <si>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</si>
  <si>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</si>
  <si>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</si>
  <si>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</si>
  <si>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</si>
  <si>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</si>
  <si>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</si>
  <si>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</si>
  <si>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</si>
  <si>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</si>
  <si>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</si>
  <si>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</si>
  <si>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</si>
  <si>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</si>
  <si>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</si>
  <si>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</si>
  <si>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</si>
  <si>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</si>
  <si>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</si>
  <si>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</si>
  <si>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</si>
  <si>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</si>
  <si>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</si>
  <si>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</si>
  <si>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</si>
  <si>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</si>
  <si>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</si>
  <si>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</si>
  <si>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</si>
  <si>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</si>
  <si>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</si>
  <si>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</si>
  <si>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</si>
  <si>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</si>
  <si>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</si>
  <si>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</si>
  <si>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</si>
  <si>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</si>
  <si>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</si>
  <si>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</si>
  <si>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</si>
  <si>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</si>
  <si>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</si>
  <si>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</si>
  <si>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</si>
  <si>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</si>
  <si>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</si>
  <si>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</si>
  <si>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</si>
  <si>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</si>
  <si>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</si>
  <si>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</si>
  <si>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</si>
  <si>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</si>
  <si>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</si>
  <si>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</si>
  <si>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</si>
  <si>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</si>
  <si>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</si>
  <si>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</si>
  <si>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</si>
  <si>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</si>
  <si>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</si>
  <si>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</si>
  <si>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</si>
  <si>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</si>
  <si>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</si>
  <si>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</si>
  <si>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</si>
  <si>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</si>
  <si>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</si>
  <si>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</si>
  <si>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</si>
  <si>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</si>
  <si>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</si>
  <si>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</si>
  <si>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</si>
  <si>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</si>
  <si>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</si>
  <si>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</si>
  <si>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</si>
  <si>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</si>
  <si>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</si>
  <si>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</si>
  <si>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</si>
  <si>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</si>
  <si>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</si>
  <si>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</si>
  <si>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</si>
  <si>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</si>
  <si>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</si>
  <si>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</si>
  <si>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</si>
  <si>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</si>
  <si>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</si>
  <si>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</si>
  <si>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</si>
  <si>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</si>
  <si>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</si>
  <si>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</si>
  <si>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</si>
  <si>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</si>
  <si>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</si>
  <si>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</si>
  <si>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</si>
  <si>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</si>
  <si>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</si>
  <si>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</si>
  <si>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</si>
  <si>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</si>
  <si>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</si>
  <si>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</si>
  <si>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</si>
  <si>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</si>
  <si>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</si>
  <si>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</si>
  <si>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</si>
  <si>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</si>
  <si>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</si>
  <si>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</si>
  <si>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</si>
  <si>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</si>
  <si>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</si>
  <si>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</si>
  <si>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</si>
  <si>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</si>
  <si>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</si>
  <si>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</si>
  <si>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</si>
  <si>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</si>
  <si>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</si>
  <si>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</si>
  <si>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</si>
  <si>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</si>
  <si>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</si>
  <si>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</si>
  <si>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</si>
  <si>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</si>
  <si>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</si>
  <si>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</si>
  <si>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</si>
  <si>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</si>
  <si>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</si>
  <si>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</si>
  <si>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</si>
  <si>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</si>
  <si>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</si>
  <si>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</si>
  <si>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</si>
  <si>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</si>
  <si>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</si>
  <si>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</si>
  <si>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</si>
  <si>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</si>
  <si>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</si>
  <si>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</si>
  <si>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</si>
  <si>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</si>
  <si>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</si>
  <si>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</si>
  <si>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</si>
  <si>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</si>
  <si>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</si>
  <si>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</si>
  <si>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</si>
  <si>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</si>
  <si>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</si>
  <si>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</si>
  <si>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</si>
  <si>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</si>
  <si>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</si>
  <si>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</si>
  <si>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</si>
  <si>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</si>
  <si>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</si>
  <si>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</si>
  <si>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</si>
  <si>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</si>
  <si>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</si>
  <si>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</si>
  <si>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</si>
  <si>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</si>
  <si>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</si>
  <si>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</si>
  <si>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</si>
  <si>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</si>
  <si>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</si>
  <si>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</si>
  <si>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</si>
  <si>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</si>
  <si>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</si>
  <si>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</si>
  <si>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</si>
  <si>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</si>
  <si>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</si>
  <si>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</si>
  <si>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</si>
  <si>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</si>
  <si>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</si>
  <si>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</si>
  <si>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</si>
  <si>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</si>
  <si>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</si>
  <si>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</si>
  <si>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</si>
  <si>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</si>
  <si>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</si>
  <si>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</si>
  <si>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</si>
  <si>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</si>
  <si>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</si>
  <si>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</si>
  <si>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</si>
  <si>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</si>
  <si>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</si>
  <si>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</si>
  <si>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</si>
  <si>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</si>
  <si>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</si>
  <si>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</si>
  <si>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</si>
  <si>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</si>
  <si>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</si>
  <si>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</si>
  <si>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</si>
  <si>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</si>
  <si>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</si>
  <si>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</si>
  <si>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</si>
  <si>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</si>
  <si>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</si>
  <si>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</si>
  <si>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</si>
  <si>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</si>
  <si>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</si>
  <si>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</si>
  <si>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</si>
  <si>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</si>
  <si>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</si>
  <si>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</si>
  <si>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</si>
  <si>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</si>
  <si>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</si>
  <si>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</si>
  <si>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</si>
  <si>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</si>
  <si>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</si>
  <si>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</si>
  <si>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</si>
  <si>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</si>
  <si>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</si>
  <si>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</si>
  <si>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</si>
  <si>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</si>
  <si>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</si>
  <si>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</si>
  <si>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</si>
  <si>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</si>
  <si>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</si>
  <si>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</si>
  <si>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</si>
  <si>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</si>
  <si>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</si>
  <si>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</si>
  <si>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</si>
  <si>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</si>
  <si>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</si>
  <si>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</si>
  <si>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</si>
  <si>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</si>
  <si>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</si>
  <si>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</si>
  <si>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</si>
  <si>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</si>
  <si>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</si>
  <si>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</si>
  <si>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</si>
  <si>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</si>
  <si>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</si>
  <si>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</si>
  <si>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</si>
  <si>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</si>
  <si>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</si>
  <si>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</si>
  <si>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</si>
  <si>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</si>
  <si>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</si>
  <si>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</si>
  <si>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</si>
  <si>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</si>
  <si>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</si>
  <si>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</si>
  <si>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</si>
  <si>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</si>
  <si>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</si>
  <si>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</si>
  <si>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</si>
  <si>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</si>
  <si>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</si>
  <si>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</si>
  <si>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</si>
  <si>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</si>
  <si>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</si>
  <si>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</si>
  <si>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</si>
  <si>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</si>
  <si>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</si>
  <si>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</si>
  <si>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</si>
  <si>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</si>
  <si>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</si>
  <si>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</si>
  <si>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</si>
  <si>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</si>
  <si>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</si>
  <si>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</si>
  <si>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</si>
  <si>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</si>
  <si>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</si>
  <si>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</si>
  <si>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</si>
  <si>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</si>
  <si>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</si>
  <si>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</si>
  <si>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</si>
  <si>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</si>
  <si>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</si>
  <si>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</si>
  <si>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</si>
  <si>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</si>
  <si>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</si>
  <si>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</si>
  <si>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</si>
  <si>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</si>
  <si>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</si>
  <si>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</si>
  <si>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</si>
  <si>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</si>
  <si>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</si>
  <si>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</si>
  <si>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</si>
  <si>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</si>
  <si>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</si>
  <si>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</si>
  <si>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</si>
  <si>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</si>
  <si>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</si>
  <si>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</si>
  <si>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</si>
  <si>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</si>
  <si>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</si>
  <si>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</si>
  <si>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</si>
  <si>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</si>
  <si>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</si>
  <si>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</si>
  <si>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</si>
  <si>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</si>
  <si>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</si>
  <si>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</si>
  <si>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</si>
  <si>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</si>
  <si>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</si>
  <si>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</si>
  <si>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</si>
  <si>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</si>
  <si>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</si>
  <si>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</si>
  <si>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</si>
  <si>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</si>
  <si>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</si>
  <si>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</si>
  <si>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</si>
  <si>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</si>
  <si>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</si>
  <si>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</si>
  <si>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</si>
  <si>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</si>
  <si>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</si>
  <si>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</si>
  <si>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</si>
  <si>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</si>
  <si>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</si>
  <si>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</si>
  <si>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</si>
  <si>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</si>
  <si>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</si>
  <si>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</si>
  <si>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</si>
  <si>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</si>
  <si>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</si>
  <si>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</si>
  <si>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</si>
  <si>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</si>
  <si>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</si>
  <si>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</si>
  <si>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</si>
  <si>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</si>
  <si>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</si>
  <si>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</si>
  <si>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</si>
  <si>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</si>
  <si>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</si>
  <si>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</si>
  <si>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</si>
  <si>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</si>
  <si>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</si>
  <si>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</si>
  <si>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</si>
  <si>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</si>
  <si>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</si>
  <si>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</si>
  <si>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</si>
  <si>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</si>
  <si>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</si>
  <si>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</si>
  <si>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</si>
  <si>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</si>
  <si>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</si>
  <si>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</si>
  <si>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</si>
  <si>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</si>
  <si>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</si>
  <si>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</si>
  <si>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</si>
  <si>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</si>
  <si>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</si>
  <si>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</si>
  <si>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</si>
  <si>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</si>
  <si>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</si>
  <si>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</si>
  <si>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</si>
  <si>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</si>
  <si>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</si>
  <si>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</si>
  <si>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</si>
  <si>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</si>
  <si>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</si>
  <si>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</si>
  <si>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</si>
  <si>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</si>
  <si>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</si>
  <si>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</si>
  <si>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</si>
  <si>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</si>
  <si>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</si>
  <si>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</si>
  <si>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</si>
  <si>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</si>
  <si>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</si>
  <si>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</si>
  <si>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</si>
  <si>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</si>
  <si>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</si>
  <si>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</si>
  <si>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</si>
  <si>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</si>
  <si>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</si>
  <si>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</si>
  <si>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</si>
  <si>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</si>
  <si>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</si>
  <si>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</si>
  <si>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</si>
  <si>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</si>
  <si>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</si>
  <si>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</si>
  <si>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</si>
  <si>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</si>
  <si>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</si>
  <si>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</si>
  <si>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</si>
  <si>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</si>
  <si>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</si>
  <si>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</si>
  <si>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</si>
  <si>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</si>
  <si>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</si>
  <si>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</si>
  <si>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</si>
  <si>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</si>
  <si>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</si>
  <si>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</si>
  <si>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</si>
  <si>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</si>
  <si>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</si>
  <si>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</si>
  <si>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</si>
  <si>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</si>
  <si>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</si>
  <si>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</si>
  <si>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</si>
  <si>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</si>
  <si>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</si>
  <si>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</si>
  <si>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</si>
  <si>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</si>
  <si>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</si>
  <si>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</si>
  <si>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</si>
  <si>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</si>
  <si>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</si>
  <si>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</si>
  <si>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</si>
  <si>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</si>
  <si>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</si>
  <si>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</si>
  <si>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</si>
  <si>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</si>
  <si>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</si>
  <si>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</si>
  <si>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</si>
  <si>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</si>
  <si>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</si>
  <si>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</si>
  <si>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</si>
  <si>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</si>
  <si>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</si>
  <si>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</si>
  <si>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</si>
  <si>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</si>
  <si>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</si>
  <si>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</si>
  <si>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</si>
  <si>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</si>
  <si>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</si>
  <si>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</si>
  <si>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</si>
  <si>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</si>
  <si>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</si>
  <si>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</si>
  <si>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</si>
  <si>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</si>
  <si>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</si>
  <si>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</si>
  <si>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</si>
  <si>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</si>
  <si>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</si>
  <si>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</si>
  <si>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</si>
  <si>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</si>
  <si>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</si>
  <si>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</si>
  <si>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</si>
  <si>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</si>
  <si>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</si>
  <si>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</si>
  <si>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</si>
  <si>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</si>
  <si>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</si>
  <si>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</si>
  <si>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</si>
  <si>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</si>
  <si>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</si>
  <si>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</si>
  <si>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</si>
  <si>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</si>
  <si>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</si>
  <si>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</si>
  <si>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</si>
  <si>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</si>
  <si>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</si>
  <si>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</si>
  <si>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</si>
  <si>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</si>
  <si>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</si>
  <si>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</si>
  <si>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</si>
  <si>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</si>
  <si>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</si>
  <si>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</si>
  <si>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</si>
  <si>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</si>
  <si>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</si>
  <si>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</si>
  <si>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</si>
  <si>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</si>
  <si>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</si>
  <si>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</si>
  <si>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</si>
  <si>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</si>
  <si>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</si>
  <si>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</si>
  <si>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</si>
  <si>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</si>
  <si>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</si>
  <si>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</si>
  <si>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</si>
  <si>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</si>
  <si>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</si>
  <si>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</si>
  <si>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</si>
  <si>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</si>
  <si>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</si>
  <si>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</si>
  <si>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</si>
  <si>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</si>
  <si>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</si>
  <si>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</si>
  <si>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</si>
  <si>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</si>
  <si>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</si>
  <si>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</si>
  <si>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</si>
  <si>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</si>
  <si>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</si>
  <si>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</si>
  <si>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</si>
  <si>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</si>
  <si>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</si>
  <si>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</si>
  <si>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</si>
  <si>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</si>
  <si>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</si>
  <si>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</si>
  <si>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</si>
  <si>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</si>
  <si>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</si>
  <si>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</si>
  <si>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</si>
  <si>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</si>
  <si>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</si>
  <si>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</si>
  <si>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</si>
  <si>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</si>
  <si>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</si>
  <si>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</si>
  <si>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</si>
  <si>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</si>
  <si>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</si>
  <si>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</si>
  <si>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</si>
  <si>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</si>
  <si>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</si>
  <si>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</si>
  <si>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</si>
  <si>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</si>
  <si>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</si>
  <si>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</si>
  <si>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</si>
  <si>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</si>
  <si>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</si>
  <si>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</si>
  <si>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</si>
  <si>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</si>
  <si>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</si>
  <si>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</si>
  <si>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</si>
  <si>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</si>
  <si>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</si>
  <si>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</si>
  <si>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</si>
  <si>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</si>
  <si>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</si>
  <si>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</si>
  <si>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</si>
  <si>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</si>
  <si>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</si>
  <si>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</si>
  <si>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</si>
  <si>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</si>
  <si>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</si>
  <si>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</si>
  <si>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</si>
  <si>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</si>
  <si>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</si>
  <si>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</si>
  <si>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</si>
  <si>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</si>
  <si>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</si>
  <si>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</si>
  <si>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</si>
  <si>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</si>
  <si>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</si>
  <si>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</si>
  <si>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</si>
  <si>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</si>
  <si>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</si>
  <si>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</si>
  <si>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</si>
  <si>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</si>
  <si>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</si>
  <si>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</si>
  <si>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</si>
  <si>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</si>
  <si>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</si>
  <si>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</si>
  <si>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</si>
  <si>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</si>
  <si>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</si>
  <si>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</si>
  <si>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</si>
  <si>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</si>
  <si>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</si>
  <si>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</si>
  <si>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</si>
  <si>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</si>
  <si>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</si>
  <si>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</si>
  <si>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</si>
  <si>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</si>
  <si>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</si>
  <si>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</si>
  <si>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</si>
  <si>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</si>
  <si>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</si>
  <si>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</si>
  <si>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</si>
  <si>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</si>
  <si>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</si>
  <si>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</si>
  <si>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</si>
  <si>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</si>
  <si>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</si>
  <si>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</si>
  <si>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</si>
  <si>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</si>
  <si>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</si>
  <si>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</si>
  <si>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</si>
  <si>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</si>
  <si>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</si>
  <si>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</si>
  <si>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</si>
  <si>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</si>
  <si>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</si>
  <si>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</si>
  <si>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</si>
  <si>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</si>
  <si>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</si>
  <si>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</si>
  <si>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</si>
  <si>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</si>
  <si>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</si>
  <si>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</si>
  <si>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</si>
  <si>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</si>
  <si>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</si>
  <si>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</si>
  <si>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</si>
  <si>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</si>
  <si>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</si>
  <si>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</si>
  <si>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</si>
  <si>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</si>
  <si>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</si>
  <si>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</si>
  <si>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</si>
  <si>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</si>
  <si>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</si>
  <si>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</si>
  <si>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</si>
  <si>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</si>
  <si>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</si>
  <si>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</si>
  <si>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</si>
  <si>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</si>
  <si>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</si>
  <si>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</si>
  <si>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</si>
  <si>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</si>
  <si>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</si>
  <si>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</si>
  <si>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</si>
  <si>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</si>
  <si>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</si>
  <si>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</si>
  <si>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</si>
  <si>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</si>
  <si>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</si>
  <si>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</si>
  <si>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</si>
  <si>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</si>
  <si>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</si>
  <si>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</si>
  <si>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</si>
  <si>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</si>
  <si>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</si>
  <si>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</si>
  <si>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</si>
  <si>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</si>
  <si>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</si>
  <si>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</si>
  <si>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</si>
  <si>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</si>
  <si>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</si>
  <si>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</si>
  <si>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</si>
  <si>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</si>
  <si>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</si>
  <si>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</si>
  <si>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</si>
  <si>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</si>
  <si>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</si>
  <si>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</si>
  <si>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</si>
  <si>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</si>
  <si>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</si>
  <si>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</si>
  <si>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</si>
  <si>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</si>
  <si>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</si>
  <si>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</si>
  <si>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</si>
  <si>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</si>
  <si>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</si>
  <si>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</si>
  <si>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</si>
  <si>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</si>
  <si>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</si>
  <si>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</si>
  <si>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</si>
  <si>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</si>
  <si>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</si>
  <si>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</si>
  <si>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</si>
  <si>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</si>
  <si>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</si>
  <si>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</si>
  <si>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</si>
  <si>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</si>
  <si>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</si>
  <si>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</si>
  <si>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</si>
  <si>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</si>
  <si>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</si>
  <si>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</si>
  <si>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</si>
  <si>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</si>
  <si>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</si>
  <si>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</si>
  <si>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</si>
  <si>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</si>
  <si>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</si>
  <si>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</si>
  <si>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</si>
  <si>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</si>
  <si>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</si>
  <si>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</si>
  <si>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</si>
  <si>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</si>
  <si>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</si>
  <si>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</si>
  <si>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</si>
  <si>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</si>
  <si>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</si>
  <si>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</si>
  <si>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</si>
  <si>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</si>
  <si>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</si>
  <si>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</si>
  <si>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</si>
  <si>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</si>
  <si>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</si>
  <si>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</si>
  <si>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</si>
  <si>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</si>
  <si>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</si>
  <si>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</si>
  <si>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</si>
  <si>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</si>
  <si>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</si>
  <si>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</si>
  <si>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</si>
  <si>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</si>
  <si>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</si>
  <si>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</si>
  <si>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</si>
  <si>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</si>
  <si>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</si>
  <si>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</si>
  <si>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</si>
  <si>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</si>
  <si>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</si>
  <si>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</si>
  <si>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</si>
  <si>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</si>
  <si>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</si>
  <si>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</si>
  <si>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</si>
  <si>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</si>
  <si>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</si>
  <si>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</si>
  <si>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</si>
  <si>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</si>
  <si>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</si>
  <si>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</si>
  <si>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</si>
  <si>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</si>
  <si>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</si>
  <si>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</si>
  <si>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</si>
  <si>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</si>
  <si>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</si>
  <si>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</si>
  <si>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</si>
  <si>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</si>
  <si>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</si>
  <si>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</si>
  <si>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</si>
  <si>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</si>
  <si>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</si>
  <si>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</si>
  <si>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</si>
  <si>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</si>
  <si>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</si>
  <si>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</si>
  <si>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</si>
  <si>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</si>
  <si>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</si>
  <si>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</si>
  <si>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</si>
  <si>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</si>
  <si>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</si>
  <si>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</si>
  <si>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</si>
  <si>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</si>
  <si>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</si>
  <si>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</si>
  <si>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</si>
  <si>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</si>
  <si>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</si>
  <si>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</si>
  <si>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</si>
  <si>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</si>
  <si>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</si>
  <si>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</si>
  <si>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</si>
  <si>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</si>
  <si>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</si>
  <si>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</si>
  <si>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</si>
  <si>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</si>
  <si>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</si>
  <si>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</si>
  <si>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</si>
  <si>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</si>
  <si>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</si>
  <si>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</si>
  <si>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</si>
  <si>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</si>
  <si>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</si>
  <si>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</si>
  <si>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</si>
  <si>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</si>
  <si>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</si>
  <si>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</si>
  <si>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</si>
  <si>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</si>
  <si>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</si>
  <si>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</si>
  <si>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</si>
  <si>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</si>
  <si>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</si>
  <si>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</si>
  <si>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</si>
  <si>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</si>
  <si>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</si>
  <si>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</si>
  <si>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</si>
  <si>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</si>
  <si>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</si>
  <si>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</si>
  <si>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</si>
  <si>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</si>
  <si>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</si>
  <si>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</si>
  <si>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</si>
  <si>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</si>
  <si>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</si>
  <si>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</si>
  <si>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</si>
  <si>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</si>
  <si>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</si>
  <si>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</si>
  <si>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</si>
  <si>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</si>
  <si>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</si>
  <si>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</si>
  <si>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</si>
  <si>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</si>
  <si>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</si>
  <si>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</si>
  <si>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</si>
  <si>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</si>
  <si>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</si>
  <si>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</si>
  <si>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</si>
  <si>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</si>
  <si>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</si>
  <si>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</si>
  <si>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</si>
  <si>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</si>
  <si>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</si>
  <si>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</si>
  <si>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</si>
  <si>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</si>
  <si>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</si>
  <si>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</si>
  <si>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</si>
  <si>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</si>
  <si>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</si>
  <si>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</si>
  <si>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</si>
  <si>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</si>
  <si>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</si>
  <si>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</si>
  <si>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</si>
  <si>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</si>
  <si>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</si>
  <si>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</si>
  <si>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</si>
  <si>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</si>
  <si>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</si>
  <si>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</si>
  <si>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</si>
  <si>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</si>
  <si>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</si>
  <si>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</si>
  <si>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</si>
  <si>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</si>
  <si>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</si>
  <si>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</si>
  <si>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</si>
  <si>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</si>
  <si>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</si>
  <si>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</si>
  <si>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</si>
  <si>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</si>
  <si>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</si>
  <si>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</si>
  <si>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</si>
  <si>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</si>
  <si>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</si>
  <si>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</si>
  <si>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</si>
  <si>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</si>
  <si>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</si>
  <si>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</si>
  <si>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</si>
  <si>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</si>
  <si>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</si>
  <si>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</si>
  <si>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</si>
  <si>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</si>
  <si>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</si>
  <si>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</si>
  <si>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</si>
  <si>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</si>
  <si>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</si>
  <si>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</si>
  <si>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</si>
  <si>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</si>
  <si>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</si>
  <si>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</si>
  <si>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</si>
  <si>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</si>
  <si>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</si>
  <si>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</si>
  <si>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</si>
  <si>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</si>
  <si>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</si>
  <si>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</si>
  <si>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</si>
  <si>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</si>
  <si>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</si>
  <si>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</si>
  <si>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</si>
  <si>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</si>
  <si>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</si>
  <si>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</si>
  <si>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</si>
  <si>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</si>
  <si>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</si>
  <si>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</si>
  <si>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</si>
  <si>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</si>
  <si>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</si>
  <si>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</si>
  <si>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</si>
  <si>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</si>
  <si>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</si>
  <si>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</si>
  <si>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</si>
  <si>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</si>
  <si>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</si>
  <si>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</si>
  <si>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</si>
  <si>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</si>
  <si>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</si>
  <si>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</si>
  <si>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</si>
  <si>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</si>
  <si>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</si>
  <si>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</si>
  <si>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</si>
  <si>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</si>
  <si>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</si>
  <si>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</si>
  <si>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</si>
  <si>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</si>
  <si>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</si>
  <si>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</si>
  <si>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</si>
  <si>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</si>
  <si>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</si>
  <si>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</si>
  <si>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</si>
  <si>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</si>
  <si>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</si>
  <si>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</si>
  <si>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</si>
  <si>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</si>
  <si>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</si>
  <si>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</si>
  <si>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</si>
  <si>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</si>
  <si>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</si>
  <si>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</si>
  <si>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</si>
  <si>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</si>
  <si>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</si>
  <si>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</si>
  <si>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</si>
  <si>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</si>
  <si>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</si>
  <si>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</si>
  <si>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</si>
  <si>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</si>
  <si>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</si>
  <si>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</si>
  <si>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</si>
  <si>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</si>
  <si>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</si>
  <si>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</si>
  <si>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</si>
  <si>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</si>
  <si>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</si>
  <si>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</si>
  <si>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</si>
  <si>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</si>
  <si>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</si>
  <si>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</si>
  <si>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</si>
  <si>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</si>
  <si>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</si>
  <si>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</si>
  <si>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</si>
  <si>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</si>
  <si>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</si>
  <si>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</si>
  <si>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</si>
  <si>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</si>
  <si>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</si>
  <si>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</si>
  <si>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</si>
  <si>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</si>
  <si>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</si>
  <si>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</si>
  <si>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</si>
  <si>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</si>
  <si>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</si>
  <si>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</si>
  <si>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</si>
  <si>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</si>
  <si>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</si>
  <si>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</si>
  <si>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</si>
  <si>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</si>
  <si>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</si>
  <si>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</si>
  <si>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</si>
  <si>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</si>
  <si>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</si>
  <si>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</si>
  <si>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</si>
  <si>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</si>
  <si>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</si>
  <si>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</si>
  <si>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</si>
  <si>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</si>
  <si>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</si>
  <si>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</si>
  <si>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</si>
  <si>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</si>
  <si>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</si>
  <si>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</si>
  <si>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</si>
  <si>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</si>
  <si>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</si>
  <si>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</si>
  <si>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</si>
  <si>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</si>
  <si>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</si>
  <si>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</si>
  <si>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</si>
  <si>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</si>
  <si>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</si>
  <si>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</si>
  <si>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</si>
  <si>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</si>
  <si>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</si>
  <si>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</si>
  <si>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</si>
  <si>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</si>
  <si>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</si>
  <si>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</si>
  <si>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</si>
  <si>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</si>
  <si>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</si>
  <si>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</si>
  <si>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</si>
  <si>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</si>
  <si>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</si>
  <si>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</si>
  <si>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</si>
  <si>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</si>
  <si>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</si>
  <si>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</si>
  <si>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</si>
  <si>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</si>
  <si>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</si>
  <si>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</si>
  <si>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</si>
  <si>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</si>
  <si>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</si>
  <si>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</si>
  <si>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</si>
  <si>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</si>
  <si>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</si>
  <si>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</si>
  <si>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</si>
  <si>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</si>
  <si>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</si>
  <si>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</si>
  <si>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</si>
  <si>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</si>
  <si>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</si>
  <si>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</si>
  <si>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</si>
  <si>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</si>
  <si>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</si>
  <si>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</si>
  <si>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</si>
  <si>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</si>
  <si>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</si>
  <si>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</si>
  <si>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</si>
  <si>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</si>
  <si>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</si>
  <si>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</si>
  <si>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</si>
  <si>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</si>
  <si>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</si>
  <si>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</si>
  <si>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</si>
  <si>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</si>
  <si>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</si>
  <si>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</si>
  <si>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</si>
  <si>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</si>
  <si>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</si>
  <si>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</si>
  <si>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</si>
  <si>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</si>
  <si>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</si>
  <si>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</si>
  <si>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</si>
  <si>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</si>
  <si>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</si>
  <si>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</si>
  <si>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</si>
  <si>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</si>
  <si>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</si>
  <si>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</si>
  <si>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</si>
  <si>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</si>
  <si>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</si>
  <si>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</si>
  <si>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</si>
  <si>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</si>
  <si>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</si>
  <si>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</si>
  <si>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</si>
  <si>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</si>
  <si>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</si>
  <si>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</si>
  <si>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</si>
  <si>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</si>
  <si>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</si>
  <si>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</si>
  <si>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</si>
  <si>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</si>
  <si>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</si>
  <si>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</si>
  <si>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</si>
  <si>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</si>
  <si>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</si>
  <si>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</si>
  <si>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</si>
  <si>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</si>
  <si>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</si>
  <si>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</si>
  <si>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</si>
  <si>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</si>
  <si>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</si>
  <si>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</si>
  <si>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</si>
  <si>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</si>
  <si>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</si>
  <si>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</si>
  <si>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</si>
  <si>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</si>
  <si>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</si>
  <si>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</si>
  <si>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</si>
  <si>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</si>
  <si>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</si>
  <si>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</si>
  <si>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</si>
  <si>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</si>
  <si>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</si>
  <si>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</si>
  <si>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</si>
  <si>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</si>
  <si>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</si>
  <si>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</si>
  <si>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</si>
  <si>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</si>
  <si>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</si>
  <si>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</si>
  <si>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</si>
  <si>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</si>
  <si>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</si>
  <si>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</si>
  <si>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</si>
  <si>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</si>
  <si>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</si>
  <si>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</si>
  <si>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</si>
  <si>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</si>
  <si>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</si>
  <si>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</si>
  <si>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</si>
  <si>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</si>
  <si>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</si>
  <si>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</si>
  <si>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</si>
  <si>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</si>
  <si>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</si>
  <si>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</si>
  <si>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</si>
  <si>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</si>
  <si>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</si>
  <si>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</si>
  <si>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</si>
  <si>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</si>
  <si>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</si>
  <si>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</si>
  <si>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</si>
  <si>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</si>
  <si>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</si>
  <si>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</si>
  <si>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</si>
  <si>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</si>
  <si>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</si>
  <si>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</si>
  <si>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</si>
  <si>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</si>
  <si>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</si>
  <si>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</si>
  <si>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</si>
  <si>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</si>
  <si>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</si>
  <si>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</si>
  <si>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</si>
  <si>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</si>
  <si>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</si>
  <si>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</si>
  <si>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</si>
  <si>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</si>
  <si>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</si>
  <si>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</si>
  <si>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</si>
  <si>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</si>
  <si>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</si>
  <si>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</si>
  <si>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</si>
  <si>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</si>
  <si>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</si>
  <si>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</si>
  <si>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</si>
  <si>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</si>
  <si>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</si>
  <si>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</si>
  <si>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</si>
  <si>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</si>
  <si>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</si>
  <si>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</si>
  <si>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</si>
  <si>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</si>
  <si>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</si>
  <si>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</si>
  <si>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</si>
  <si>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</si>
  <si>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</si>
  <si>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</si>
  <si>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</si>
  <si>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</si>
  <si>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</si>
  <si>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</si>
  <si>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</si>
  <si>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</si>
  <si>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</si>
  <si>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</si>
  <si>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</si>
  <si>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</si>
  <si>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</si>
  <si>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</si>
  <si>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</si>
  <si>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</si>
  <si>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</si>
  <si>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</si>
  <si>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</si>
  <si>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</si>
  <si>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</si>
  <si>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</si>
  <si>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</si>
  <si>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</si>
  <si>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</si>
  <si>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</si>
  <si>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</si>
  <si>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</si>
  <si>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</si>
  <si>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</si>
  <si>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</si>
  <si>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</si>
  <si>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</si>
  <si>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</si>
  <si>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</si>
  <si>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</si>
  <si>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</si>
  <si>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</si>
  <si>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</si>
  <si>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</si>
  <si>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</si>
  <si>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</si>
  <si>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</si>
  <si>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</si>
  <si>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</si>
  <si>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</si>
  <si>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</si>
  <si>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</si>
  <si>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</si>
  <si>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</si>
  <si>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</si>
  <si>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</si>
  <si>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</si>
  <si>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</si>
  <si>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</si>
  <si>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</si>
  <si>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</si>
  <si>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</si>
  <si>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</si>
  <si>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</si>
  <si>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</si>
  <si>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</si>
  <si>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</si>
  <si>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</si>
  <si>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</si>
  <si>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</si>
  <si>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</si>
  <si>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</si>
  <si>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</si>
  <si>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</si>
  <si>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</si>
  <si>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</si>
  <si>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</si>
  <si>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</si>
  <si>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</si>
  <si>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</si>
  <si>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</si>
  <si>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</si>
  <si>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</si>
  <si>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</si>
  <si>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</si>
  <si>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</si>
  <si>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</si>
  <si>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</si>
  <si>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</si>
  <si>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</si>
  <si>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</si>
  <si>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</si>
  <si>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</si>
  <si>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</si>
  <si>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</si>
  <si>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</si>
  <si>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</si>
  <si>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</si>
  <si>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</si>
  <si>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</si>
  <si>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</si>
  <si>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</si>
  <si>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</si>
  <si>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</si>
  <si>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</si>
  <si>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</si>
  <si>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</si>
  <si>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</si>
  <si>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</si>
  <si>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</si>
  <si>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</si>
  <si>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</si>
  <si>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</si>
  <si>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</si>
  <si>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</si>
  <si>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</si>
  <si>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</si>
  <si>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</si>
  <si>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</si>
  <si>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</si>
  <si>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</si>
  <si>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</si>
  <si>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</si>
  <si>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</si>
  <si>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</si>
  <si>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</si>
  <si>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</si>
  <si>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</si>
  <si>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</si>
  <si>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</si>
  <si>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</si>
  <si>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</si>
  <si>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</si>
  <si>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</si>
  <si>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</si>
  <si>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</si>
  <si>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</si>
  <si>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</si>
  <si>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</si>
  <si>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</si>
  <si>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</si>
  <si>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</si>
  <si>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</si>
  <si>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</si>
  <si>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</si>
  <si>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</si>
  <si>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</si>
  <si>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</si>
  <si>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</si>
  <si>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</si>
  <si>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</si>
  <si>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</si>
  <si>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</si>
  <si>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</si>
  <si>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</si>
  <si>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</si>
  <si>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</si>
  <si>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</si>
  <si>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</si>
  <si>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</si>
  <si>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</si>
  <si>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</si>
  <si>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</si>
  <si>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</si>
  <si>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</si>
  <si>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</si>
  <si>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</si>
  <si>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</si>
  <si>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</si>
  <si>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</si>
  <si>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</si>
  <si>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</si>
  <si>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</si>
  <si>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</si>
  <si>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</si>
  <si>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</si>
  <si>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</si>
  <si>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</si>
  <si>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</si>
  <si>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</si>
  <si>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</si>
  <si>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</si>
  <si>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</si>
  <si>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</si>
  <si>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</si>
  <si>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</si>
  <si>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</si>
  <si>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</si>
  <si>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</si>
  <si>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</si>
  <si>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</si>
  <si>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</si>
  <si>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</si>
  <si>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</si>
  <si>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</si>
  <si>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</si>
  <si>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</si>
  <si>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</si>
  <si>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</si>
  <si>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</si>
  <si>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</si>
  <si>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</si>
  <si>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</si>
  <si>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</si>
  <si>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</si>
  <si>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</si>
  <si>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</si>
  <si>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</si>
  <si>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</si>
  <si>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</si>
  <si>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</si>
  <si>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</si>
  <si>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</si>
  <si>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</si>
  <si>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</si>
  <si>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</si>
  <si>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</si>
  <si>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</si>
  <si>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</si>
  <si>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</si>
  <si>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</si>
  <si>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</si>
  <si>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</si>
  <si>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</si>
  <si>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</si>
  <si>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</si>
  <si>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</si>
  <si>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</si>
  <si>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</si>
  <si>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</si>
  <si>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</si>
  <si>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</si>
  <si>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</si>
  <si>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</si>
  <si>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</si>
  <si>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</si>
  <si>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</si>
  <si>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</si>
  <si>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</si>
  <si>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</si>
  <si>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</si>
  <si>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</si>
  <si>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</si>
  <si>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</si>
  <si>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</si>
  <si>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</si>
  <si>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</si>
  <si>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</si>
  <si>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</si>
  <si>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</si>
  <si>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</si>
  <si>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</si>
  <si>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</si>
  <si>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</si>
  <si>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</si>
  <si>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</si>
  <si>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</si>
  <si>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</si>
  <si>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</si>
  <si>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</si>
  <si>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</si>
  <si>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</si>
  <si>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</si>
  <si>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</si>
  <si>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</si>
  <si>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</si>
  <si>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</si>
  <si>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</si>
  <si>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</si>
  <si>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</si>
  <si>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</si>
  <si>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</si>
  <si>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</si>
  <si>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</si>
  <si>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</si>
  <si>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</si>
  <si>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</si>
  <si>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</si>
  <si>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</si>
  <si>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</si>
  <si>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</si>
  <si>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</si>
  <si>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</si>
  <si>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</si>
  <si>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</si>
  <si>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</si>
  <si>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</si>
  <si>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</si>
  <si>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</si>
  <si>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</si>
  <si>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</si>
  <si>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</si>
  <si>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</si>
  <si>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</si>
  <si>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</si>
  <si>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</si>
  <si>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</si>
  <si>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</si>
  <si>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</si>
  <si>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</si>
  <si>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</si>
  <si>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</si>
  <si>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</si>
  <si>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</si>
  <si>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</si>
  <si>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</si>
  <si>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</si>
  <si>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</si>
  <si>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</si>
  <si>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</si>
  <si>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</si>
  <si>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</si>
  <si>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</si>
  <si>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</si>
  <si>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</si>
  <si>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</si>
  <si>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</si>
  <si>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</si>
  <si>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</si>
  <si>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</si>
  <si>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</si>
  <si>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</si>
  <si>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</si>
  <si>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</si>
  <si>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</si>
  <si>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</si>
  <si>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</si>
  <si>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</si>
  <si>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</si>
  <si>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</si>
  <si>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</si>
  <si>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</si>
  <si>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</si>
  <si>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</si>
  <si>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</si>
  <si>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</si>
  <si>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</si>
  <si>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</si>
  <si>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</si>
  <si>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</si>
  <si>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</si>
  <si>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</si>
  <si>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</si>
  <si>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</si>
  <si>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</si>
  <si>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</si>
  <si>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</si>
  <si>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</si>
  <si>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</si>
  <si>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</si>
  <si>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</si>
  <si>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</si>
  <si>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</si>
  <si>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</si>
  <si>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</si>
  <si>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</si>
  <si>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</si>
  <si>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</si>
  <si>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</si>
  <si>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</si>
  <si>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</si>
  <si>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</si>
  <si>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</si>
  <si>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</si>
  <si>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</si>
  <si>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</si>
  <si>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</si>
  <si>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</si>
  <si>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</si>
  <si>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</si>
  <si>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</si>
  <si>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</si>
  <si>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</si>
  <si>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</si>
  <si>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</si>
  <si>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</si>
  <si>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</si>
  <si>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</si>
  <si>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</si>
  <si>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</si>
  <si>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</si>
  <si>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</si>
  <si>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</si>
  <si>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</si>
  <si>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</si>
  <si>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</si>
  <si>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</si>
  <si>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</si>
  <si>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</si>
  <si>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</si>
  <si>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</si>
  <si>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</si>
  <si>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</si>
  <si>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</si>
  <si>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</si>
  <si>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</si>
  <si>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</si>
  <si>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</si>
  <si>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</si>
  <si>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</si>
  <si>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</si>
  <si>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</si>
  <si>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</si>
  <si>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</si>
  <si>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</si>
  <si>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</si>
  <si>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</si>
  <si>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</si>
  <si>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</si>
  <si>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</si>
  <si>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</si>
  <si>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</si>
  <si>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</si>
  <si>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</si>
  <si>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</si>
  <si>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</si>
  <si>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</si>
  <si>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</si>
  <si>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</si>
  <si>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</si>
  <si>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</si>
  <si>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</si>
  <si>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</si>
  <si>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</si>
  <si>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</si>
  <si>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</si>
  <si>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</si>
  <si>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</si>
  <si>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</si>
  <si>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</si>
  <si>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</si>
  <si>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</si>
  <si>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</si>
  <si>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</si>
  <si>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</si>
  <si>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</si>
  <si>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</si>
  <si>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</si>
  <si>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</si>
  <si>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</si>
  <si>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</si>
  <si>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</si>
  <si>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</si>
  <si>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</si>
  <si>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</si>
  <si>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</si>
  <si>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</si>
  <si>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</si>
  <si>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</si>
  <si>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</si>
  <si>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</si>
  <si>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</si>
  <si>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</si>
  <si>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</si>
  <si>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</si>
  <si>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</si>
  <si>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</si>
  <si>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</si>
  <si>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</si>
  <si>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</si>
  <si>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</si>
  <si>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</si>
  <si>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</si>
  <si>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</si>
  <si>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</si>
  <si>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</si>
  <si>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</si>
  <si>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</si>
  <si>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</si>
  <si>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</si>
  <si>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</si>
  <si>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</si>
  <si>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</si>
  <si>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</si>
  <si>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</si>
  <si>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</si>
  <si>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</si>
  <si>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</si>
  <si>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</si>
  <si>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</si>
  <si>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</si>
  <si>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</si>
  <si>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</si>
  <si>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</si>
  <si>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</si>
  <si>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</si>
  <si>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</si>
  <si>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</si>
  <si>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</si>
  <si>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</si>
  <si>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</si>
  <si>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</si>
  <si>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</si>
  <si>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</si>
  <si>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</si>
  <si>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</si>
  <si>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</si>
  <si>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</si>
  <si>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</si>
  <si>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</si>
  <si>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</si>
  <si>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</si>
  <si>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</si>
  <si>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</si>
  <si>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</si>
  <si>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</si>
  <si>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</si>
  <si>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</si>
  <si>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</si>
  <si>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</si>
  <si>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</si>
  <si>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</si>
  <si>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</si>
  <si>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</si>
  <si>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</si>
  <si>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</si>
  <si>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</si>
  <si>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</si>
  <si>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</si>
  <si>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</si>
  <si>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</si>
  <si>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</si>
  <si>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</si>
  <si>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</si>
  <si>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</si>
  <si>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</si>
  <si>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</si>
  <si>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</si>
  <si>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</si>
  <si>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</si>
  <si>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</si>
  <si>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</si>
  <si>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</si>
  <si>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</si>
  <si>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</si>
  <si>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</si>
  <si>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</si>
  <si>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</si>
  <si>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</si>
  <si>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</si>
  <si>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</si>
  <si>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</si>
  <si>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</si>
  <si>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</si>
  <si>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</si>
  <si>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</si>
  <si>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</si>
  <si>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</si>
  <si>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</si>
  <si>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</si>
  <si>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</si>
  <si>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</si>
  <si>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</si>
  <si>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</si>
  <si>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</si>
  <si>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</si>
  <si>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</si>
  <si>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</si>
  <si>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</si>
  <si>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</si>
  <si>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</si>
  <si>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</si>
  <si>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</si>
  <si>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</si>
  <si>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</si>
  <si>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</si>
  <si>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</si>
  <si>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</si>
  <si>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</si>
  <si>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</si>
  <si>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</si>
  <si>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</si>
  <si>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</si>
  <si>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</si>
  <si>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</si>
  <si>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</si>
  <si>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</si>
  <si>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</si>
  <si>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</si>
  <si>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</si>
  <si>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</si>
  <si>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</si>
  <si>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</si>
  <si>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</si>
  <si>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</si>
  <si>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</si>
  <si>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</si>
  <si>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</si>
  <si>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</si>
  <si>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</si>
  <si>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</si>
  <si>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</si>
  <si>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</si>
  <si>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</si>
  <si>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</si>
  <si>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</si>
  <si>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</si>
  <si>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</si>
  <si>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</si>
  <si>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</si>
  <si>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</si>
  <si>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</si>
  <si>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</si>
  <si>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</si>
  <si>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</si>
  <si>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</si>
  <si>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</si>
  <si>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</si>
  <si>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</si>
  <si>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</si>
  <si>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</si>
  <si>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</si>
  <si>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</si>
  <si>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</si>
  <si>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</si>
  <si>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</si>
  <si>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</si>
  <si>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</si>
  <si>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</si>
  <si>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</si>
  <si>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</si>
  <si>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</si>
  <si>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</si>
  <si>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</si>
  <si>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</si>
  <si>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</si>
  <si>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</si>
  <si>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</si>
  <si>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</si>
  <si>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</si>
  <si>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</si>
  <si>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</si>
  <si>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</si>
  <si>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</si>
  <si>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</si>
  <si>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</si>
  <si>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</si>
  <si>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</si>
  <si>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</si>
  <si>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</si>
  <si>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</si>
  <si>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</si>
  <si>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</si>
  <si>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</si>
  <si>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</si>
  <si>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</si>
  <si>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</si>
  <si>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</si>
  <si>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</si>
  <si>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</si>
  <si>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</si>
  <si>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</si>
  <si>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</si>
  <si>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</si>
  <si>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</si>
  <si>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</si>
  <si>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</si>
  <si>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</si>
  <si>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</si>
  <si>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</si>
  <si>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</si>
  <si>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</si>
  <si>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</si>
  <si>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</si>
  <si>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</si>
  <si>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</si>
  <si>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</si>
  <si>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</si>
  <si>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</si>
  <si>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</si>
  <si>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</si>
  <si>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</si>
  <si>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</si>
  <si>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</si>
  <si>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</si>
  <si>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</si>
  <si>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</si>
  <si>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</si>
  <si>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</si>
  <si>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</si>
  <si>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</si>
  <si>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</si>
  <si>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</si>
  <si>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</si>
  <si>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</si>
  <si>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</si>
  <si>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</si>
  <si>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</si>
  <si>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</si>
  <si>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</si>
  <si>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</si>
  <si>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</si>
  <si>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</si>
  <si>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</si>
  <si>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</si>
  <si>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</si>
  <si>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</si>
  <si>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</si>
  <si>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</si>
  <si>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</si>
  <si>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</si>
  <si>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</si>
  <si>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</si>
  <si>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</si>
  <si>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</si>
  <si>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</si>
  <si>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</si>
  <si>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</si>
  <si>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</si>
  <si>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</si>
  <si>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</si>
  <si>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</si>
  <si>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</si>
  <si>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</si>
  <si>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</si>
  <si>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</si>
  <si>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</si>
  <si>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</si>
  <si>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</si>
  <si>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</si>
  <si>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</si>
  <si>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</si>
  <si>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</si>
  <si>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</si>
  <si>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</si>
  <si>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</si>
  <si>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</si>
  <si>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</si>
  <si>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</si>
  <si>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</si>
  <si>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</si>
  <si>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</si>
  <si>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</si>
  <si>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</si>
  <si>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</si>
  <si>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</si>
  <si>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</si>
  <si>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</si>
  <si>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</si>
  <si>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</si>
  <si>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</si>
  <si>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</si>
  <si>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</si>
  <si>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</si>
  <si>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</si>
  <si>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</si>
  <si>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</si>
  <si>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</si>
  <si>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</si>
  <si>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</si>
  <si>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</si>
  <si>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</si>
  <si>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</si>
  <si>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</si>
  <si>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</si>
  <si>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</si>
  <si>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</si>
  <si>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</si>
  <si>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</si>
  <si>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</si>
  <si>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</si>
  <si>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</si>
  <si>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</si>
  <si>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</si>
  <si>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</si>
  <si>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</si>
  <si>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</si>
  <si>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</si>
  <si>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</si>
  <si>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</si>
  <si>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</si>
  <si>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</si>
  <si>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</si>
  <si>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</si>
  <si>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</si>
  <si>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</si>
  <si>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</si>
  <si>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</si>
  <si>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</si>
  <si>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</si>
  <si>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</si>
  <si>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</si>
  <si>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</si>
  <si>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</si>
  <si>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</si>
  <si>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</si>
  <si>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</si>
  <si>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</si>
  <si>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</si>
  <si>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</si>
  <si>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</si>
  <si>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</si>
  <si>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</si>
  <si>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</si>
  <si>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</si>
  <si>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</si>
  <si>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</si>
  <si>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</si>
  <si>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</si>
  <si>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</si>
  <si>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</si>
  <si>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</si>
  <si>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</si>
  <si>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</si>
  <si>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</si>
  <si>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</si>
  <si>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</si>
  <si>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</si>
  <si>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</si>
  <si>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</si>
  <si>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</si>
  <si>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</si>
  <si>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</si>
  <si>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</si>
  <si>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</si>
  <si>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</si>
  <si>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</si>
  <si>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</si>
  <si>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</si>
  <si>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</si>
  <si>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</si>
  <si>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</si>
  <si>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</si>
  <si>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</si>
  <si>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</si>
  <si>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</si>
  <si>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</si>
  <si>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</si>
  <si>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</si>
  <si>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</si>
  <si>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</si>
  <si>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</si>
  <si>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</si>
  <si>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</si>
  <si>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</si>
  <si>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</si>
  <si>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</si>
  <si>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</si>
  <si>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</si>
  <si>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</si>
  <si>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</si>
  <si>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</si>
  <si>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</si>
  <si>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</si>
  <si>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</si>
  <si>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</si>
  <si>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</si>
  <si>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</si>
  <si>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</si>
  <si>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</si>
  <si>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</si>
  <si>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</si>
  <si>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</si>
  <si>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</si>
  <si>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</si>
  <si>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</si>
  <si>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</si>
  <si>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</si>
  <si>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</si>
  <si>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</si>
  <si>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</si>
  <si>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</si>
  <si>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</si>
  <si>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</si>
  <si>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</si>
  <si>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</si>
  <si>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</si>
  <si>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</si>
  <si>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</si>
  <si>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</si>
  <si>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</si>
  <si>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</si>
  <si>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</si>
  <si>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</si>
  <si>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</si>
  <si>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</si>
  <si>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</si>
  <si>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</si>
  <si>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</si>
  <si>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</si>
  <si>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</si>
  <si>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</si>
  <si>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</si>
  <si>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</si>
  <si>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</si>
  <si>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</si>
  <si>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</si>
  <si>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</si>
  <si>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</si>
  <si>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</si>
  <si>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</si>
  <si>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</si>
  <si>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</si>
  <si>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</si>
  <si>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</si>
  <si>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</si>
  <si>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</si>
  <si>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</si>
  <si>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</si>
  <si>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</si>
  <si>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</si>
  <si>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</si>
  <si>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</si>
  <si>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</si>
  <si>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</si>
  <si>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</si>
  <si>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</si>
  <si>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</si>
  <si>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</si>
  <si>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</si>
  <si>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</si>
  <si>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</si>
  <si>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</si>
  <si>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</si>
  <si>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</si>
  <si>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</si>
  <si>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</si>
  <si>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</si>
  <si>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</si>
  <si>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</si>
  <si>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</si>
  <si>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</si>
  <si>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</si>
  <si>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</si>
  <si>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</si>
  <si>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</si>
  <si>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</si>
  <si>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</si>
  <si>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</si>
  <si>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</si>
  <si>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</si>
  <si>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</si>
  <si>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</si>
  <si>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</si>
  <si>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</si>
  <si>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</si>
  <si>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</si>
  <si>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</si>
  <si>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</si>
  <si>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</si>
  <si>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</si>
  <si>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</si>
  <si>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</si>
  <si>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</si>
  <si>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</si>
  <si>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</si>
  <si>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</si>
  <si>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</si>
  <si>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</si>
  <si>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</si>
  <si>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</si>
  <si>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</si>
  <si>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</si>
  <si>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</si>
  <si>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</si>
  <si>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</si>
  <si>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</si>
  <si>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</si>
  <si>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</si>
  <si>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</si>
  <si>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</si>
  <si>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</si>
  <si>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</si>
  <si>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</si>
  <si>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</si>
  <si>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</si>
  <si>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</si>
  <si>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</si>
  <si>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</si>
  <si>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</si>
  <si>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</si>
  <si>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</si>
  <si>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</si>
  <si>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</si>
  <si>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</si>
  <si>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</si>
  <si>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</si>
  <si>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</si>
  <si>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</si>
  <si>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</si>
  <si>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</si>
  <si>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</si>
  <si>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</si>
  <si>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</si>
  <si>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</si>
  <si>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</si>
  <si>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</si>
  <si>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</si>
  <si>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</si>
  <si>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</si>
  <si>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</si>
  <si>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</si>
  <si>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</si>
  <si>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</si>
  <si>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</si>
  <si>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</si>
  <si>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</si>
  <si>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</si>
  <si>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</si>
  <si>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</si>
  <si>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</si>
  <si>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</si>
  <si>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</si>
  <si>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</si>
  <si>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</si>
  <si>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</si>
  <si>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</si>
  <si>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</si>
  <si>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</si>
  <si>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</si>
  <si>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</si>
  <si>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</si>
  <si>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</si>
  <si>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</si>
  <si>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</si>
  <si>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</si>
  <si>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</si>
  <si>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</si>
  <si>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</si>
  <si>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</si>
  <si>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</si>
  <si>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</si>
  <si>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</si>
  <si>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</si>
  <si>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</si>
  <si>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</si>
  <si>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</si>
  <si>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</si>
  <si>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</si>
  <si>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</si>
  <si>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</si>
  <si>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</si>
  <si>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</si>
  <si>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</si>
  <si>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</si>
  <si>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</si>
  <si>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</si>
  <si>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</si>
  <si>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</si>
  <si>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</si>
  <si>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</si>
  <si>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</si>
  <si>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</si>
  <si>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</si>
  <si>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</si>
  <si>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</si>
  <si>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</si>
  <si>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</si>
  <si>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</si>
  <si>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</si>
  <si>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</si>
  <si>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</si>
  <si>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</si>
  <si>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</si>
  <si>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</si>
  <si>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</si>
  <si>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</si>
  <si>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</si>
  <si>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</si>
  <si>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</si>
  <si>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</si>
  <si>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</si>
  <si>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</si>
  <si>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</si>
  <si>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</si>
  <si>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</si>
  <si>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</si>
  <si>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</si>
  <si>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</si>
  <si>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</si>
  <si>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</si>
  <si>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</si>
  <si>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</si>
  <si>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</si>
  <si>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</si>
  <si>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</si>
  <si>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</si>
  <si>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</si>
  <si>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</si>
  <si>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</si>
  <si>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</si>
  <si>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</si>
  <si>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</si>
  <si>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</si>
  <si>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</si>
  <si>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</si>
  <si>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</si>
  <si>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</si>
  <si>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</si>
  <si>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</si>
  <si>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</si>
  <si>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</si>
  <si>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</si>
  <si>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</si>
  <si>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</si>
  <si>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</si>
  <si>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</si>
  <si>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</si>
  <si>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</si>
  <si>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</si>
  <si>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</si>
  <si>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</si>
  <si>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</si>
  <si>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</si>
  <si>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</si>
  <si>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</si>
  <si>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</si>
  <si>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</si>
  <si>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</si>
  <si>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</si>
  <si>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</si>
  <si>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</si>
  <si>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</si>
  <si>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</si>
  <si>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</si>
  <si>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</si>
  <si>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</si>
  <si>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</si>
  <si>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</si>
  <si>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</si>
  <si>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</si>
  <si>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</si>
  <si>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</si>
  <si>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</si>
  <si>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</si>
  <si>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</si>
  <si>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</si>
  <si>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</si>
  <si>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</si>
  <si>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</si>
  <si>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</si>
  <si>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</si>
  <si>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</si>
  <si>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</si>
  <si>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</si>
  <si>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</si>
  <si>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</si>
  <si>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</si>
  <si>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</si>
  <si>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</si>
  <si>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</si>
  <si>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</si>
  <si>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</si>
  <si>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</si>
  <si>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</si>
  <si>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</si>
  <si>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</si>
  <si>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</si>
  <si>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</si>
  <si>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</si>
  <si>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</si>
  <si>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</si>
  <si>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</si>
  <si>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</si>
  <si>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</si>
  <si>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</si>
  <si>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</si>
  <si>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</si>
  <si>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</si>
  <si>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</si>
  <si>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</si>
  <si>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</si>
  <si>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</si>
  <si>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</si>
  <si>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</si>
  <si>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</si>
  <si>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</si>
  <si>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</si>
  <si>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</si>
  <si>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</si>
  <si>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</si>
  <si>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</si>
  <si>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</si>
  <si>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</si>
  <si>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</si>
  <si>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</si>
  <si>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</si>
  <si>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</si>
  <si>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</si>
  <si>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</si>
  <si>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</si>
  <si>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</si>
  <si>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</si>
  <si>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</si>
  <si>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</si>
  <si>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</si>
  <si>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</si>
  <si>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</si>
  <si>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</si>
  <si>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</si>
  <si>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</si>
  <si>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</si>
  <si>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</si>
  <si>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</si>
  <si>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</si>
  <si>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</si>
  <si>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</si>
  <si>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</si>
  <si>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</si>
  <si>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</si>
  <si>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</si>
  <si>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</si>
  <si>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</si>
  <si>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</si>
  <si>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</si>
  <si>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</si>
  <si>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</si>
  <si>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</si>
  <si>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</si>
  <si>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</si>
  <si>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</si>
  <si>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</si>
  <si>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</si>
  <si>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</si>
  <si>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</si>
  <si>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</si>
  <si>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</si>
  <si>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</si>
  <si>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</si>
  <si>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</si>
  <si>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</si>
  <si>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</si>
  <si>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</si>
  <si>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</si>
  <si>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</si>
  <si>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</si>
  <si>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</si>
  <si>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</si>
  <si>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</si>
  <si>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</si>
  <si>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</si>
  <si>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</si>
  <si>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</si>
  <si>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</si>
  <si>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</si>
  <si>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</si>
  <si>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</si>
  <si>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</si>
  <si>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</si>
  <si>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</si>
  <si>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</si>
  <si>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</si>
  <si>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</si>
  <si>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</si>
  <si>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</si>
  <si>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</si>
  <si>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</si>
  <si>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</si>
  <si>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</si>
  <si>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</si>
  <si>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</si>
  <si>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</si>
  <si>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</si>
  <si>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</si>
  <si>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</si>
  <si>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</si>
  <si>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</si>
  <si>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</si>
  <si>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</si>
  <si>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</si>
  <si>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</si>
  <si>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</si>
  <si>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</si>
  <si>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</si>
  <si>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</si>
  <si>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</si>
  <si>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</si>
  <si>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</si>
  <si>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</si>
  <si>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</si>
  <si>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</si>
  <si>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</si>
  <si>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</si>
  <si>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</si>
  <si>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</si>
  <si>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</si>
  <si>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</si>
  <si>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</si>
  <si>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</si>
  <si>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</si>
  <si>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</si>
  <si>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</si>
  <si>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</si>
  <si>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</si>
  <si>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</si>
  <si>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</si>
  <si>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</si>
  <si>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</si>
  <si>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</si>
  <si>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</si>
  <si>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</si>
  <si>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</si>
  <si>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</si>
  <si>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</si>
  <si>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</si>
  <si>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</si>
  <si>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</si>
  <si>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</si>
  <si>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</si>
  <si>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</si>
  <si>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</si>
  <si>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</si>
  <si>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</si>
  <si>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</si>
  <si>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</si>
  <si>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</si>
  <si>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</si>
  <si>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</si>
  <si>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</si>
  <si>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</si>
  <si>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</si>
  <si>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</si>
  <si>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</si>
  <si>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</si>
  <si>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</si>
  <si>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</si>
  <si>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</si>
  <si>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</si>
  <si>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</si>
  <si>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</si>
  <si>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</si>
  <si>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</si>
  <si>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</si>
  <si>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</si>
  <si>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</si>
  <si>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</si>
  <si>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</si>
  <si>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</si>
  <si>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</si>
  <si>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</si>
  <si>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</si>
  <si>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</si>
  <si>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</si>
  <si>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</si>
  <si>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</si>
  <si>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</si>
  <si>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</si>
  <si>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</si>
  <si>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</si>
  <si>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</si>
  <si>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</si>
  <si>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</si>
  <si>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</si>
  <si>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</si>
  <si>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</si>
  <si>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</si>
  <si>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</si>
  <si>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</si>
  <si>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</si>
  <si>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</si>
  <si>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</si>
  <si>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</si>
  <si>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</si>
  <si>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</si>
  <si>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</si>
  <si>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</si>
  <si>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</si>
  <si>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</si>
  <si>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</si>
  <si>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</si>
  <si>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</si>
  <si>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</si>
  <si>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</si>
  <si>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</si>
  <si>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</si>
  <si>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</si>
  <si>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</si>
  <si>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</si>
  <si>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</si>
  <si>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</si>
  <si>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</si>
  <si>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</si>
  <si>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</si>
  <si>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</si>
  <si>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</si>
  <si>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</si>
  <si>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</si>
  <si>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</si>
  <si>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</si>
  <si>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</si>
  <si>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</si>
  <si>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</si>
  <si>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</si>
  <si>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</si>
  <si>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</si>
  <si>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</si>
  <si>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</si>
  <si>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</si>
  <si>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</si>
  <si>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</si>
  <si>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</si>
  <si>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</si>
  <si>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</si>
  <si>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</si>
  <si>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</si>
  <si>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</si>
  <si>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</si>
  <si>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</si>
  <si>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</si>
  <si>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</si>
  <si>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</si>
  <si>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</si>
  <si>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</si>
  <si>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</si>
  <si>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</si>
  <si>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</si>
  <si>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</si>
  <si>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</si>
  <si>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</si>
  <si>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</si>
  <si>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</si>
  <si>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</si>
  <si>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</si>
  <si>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</si>
  <si>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</si>
  <si>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</si>
  <si>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</si>
  <si>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</si>
  <si>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</si>
  <si>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</si>
  <si>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</si>
  <si>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</si>
  <si>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</si>
  <si>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</si>
  <si>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</si>
  <si>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</si>
  <si>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</si>
  <si>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</si>
  <si>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</si>
  <si>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</si>
  <si>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</si>
  <si>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</si>
  <si>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</si>
  <si>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</si>
  <si>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</si>
  <si>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</si>
  <si>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</si>
  <si>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</si>
  <si>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</si>
  <si>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</si>
  <si>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</si>
  <si>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</si>
  <si>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</si>
  <si>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</si>
  <si>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</si>
  <si>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</si>
  <si>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</si>
  <si>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</si>
  <si>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</si>
  <si>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</si>
  <si>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</si>
  <si>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</si>
  <si>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</si>
  <si>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</si>
  <si>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</si>
  <si>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</si>
  <si>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</si>
  <si>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</si>
  <si>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</si>
  <si>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</si>
  <si>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</si>
  <si>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</si>
  <si>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</si>
  <si>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</si>
  <si>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</si>
  <si>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</si>
  <si>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</si>
  <si>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</si>
  <si>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</si>
  <si>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</si>
  <si>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</si>
  <si>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</si>
  <si>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</si>
  <si>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</si>
  <si>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</si>
  <si>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</si>
  <si>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</si>
  <si>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</si>
  <si>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</si>
  <si>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</si>
  <si>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</si>
  <si>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</si>
  <si>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</si>
  <si>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</si>
  <si>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</si>
  <si>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</si>
  <si>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</si>
  <si>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</si>
  <si>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</si>
  <si>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</si>
  <si>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</si>
  <si>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</si>
  <si>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</si>
  <si>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</si>
  <si>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</si>
  <si>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</si>
  <si>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</si>
  <si>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</si>
  <si>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</si>
  <si>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</si>
  <si>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</si>
  <si>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</si>
  <si>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</si>
  <si>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</si>
  <si>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</si>
  <si>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</si>
  <si>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</si>
  <si>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</si>
  <si>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</si>
  <si>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</si>
  <si>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</si>
  <si>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</si>
  <si>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</si>
  <si>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</si>
  <si>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</si>
  <si>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</si>
  <si>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</si>
  <si>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</si>
  <si>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</si>
  <si>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</si>
  <si>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</si>
  <si>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</si>
  <si>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</si>
  <si>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</si>
  <si>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</si>
  <si>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</si>
  <si>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</si>
  <si>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</si>
  <si>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</si>
  <si>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</si>
  <si>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</si>
  <si>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</si>
  <si>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</si>
  <si>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</si>
  <si>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</si>
  <si>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</si>
  <si>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</si>
  <si>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</si>
  <si>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</si>
  <si>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</si>
  <si>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</si>
  <si>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</si>
  <si>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</si>
  <si>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</si>
  <si>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</si>
  <si>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</si>
  <si>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</si>
  <si>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</si>
  <si>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</si>
  <si>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</si>
  <si>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</si>
  <si>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</si>
  <si>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</si>
  <si>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</si>
  <si>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</si>
  <si>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</si>
  <si>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</si>
  <si>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</si>
  <si>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</si>
  <si>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</si>
  <si>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</si>
  <si>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</si>
  <si>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</si>
  <si>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</si>
  <si>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</si>
  <si>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</si>
  <si>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</si>
  <si>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</si>
  <si>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</si>
  <si>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</si>
  <si>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</si>
  <si>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</si>
  <si>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</si>
  <si>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</si>
  <si>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</si>
  <si>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</si>
  <si>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</si>
  <si>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</si>
  <si>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</si>
  <si>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</si>
  <si>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</si>
  <si>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</si>
  <si>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</si>
  <si>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</si>
  <si>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</si>
  <si>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</si>
  <si>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</si>
  <si>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</si>
  <si>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</si>
  <si>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</si>
  <si>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</si>
  <si>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</si>
  <si>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</si>
  <si>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</si>
  <si>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</si>
  <si>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</si>
  <si>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</si>
  <si>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</si>
  <si>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</si>
  <si>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</si>
  <si>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</si>
  <si>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</si>
  <si>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</si>
  <si>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</si>
  <si>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</si>
  <si>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</si>
  <si>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</si>
  <si>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</si>
  <si>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</si>
  <si>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</si>
  <si>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</si>
  <si>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</si>
  <si>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</si>
  <si>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</si>
  <si>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</si>
  <si>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</si>
  <si>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</si>
  <si>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</si>
  <si>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</si>
  <si>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</si>
  <si>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</si>
  <si>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</si>
  <si>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</si>
  <si>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</si>
  <si>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</si>
  <si>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</si>
  <si>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</si>
  <si>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</si>
  <si>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</si>
  <si>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</si>
  <si>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</si>
  <si>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</si>
  <si>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</si>
  <si>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</si>
  <si>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</si>
  <si>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</si>
  <si>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</si>
  <si>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</si>
  <si>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</si>
  <si>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</si>
  <si>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</si>
  <si>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</si>
  <si>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</si>
  <si>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</si>
  <si>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</si>
  <si>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</si>
  <si>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</si>
  <si>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</si>
  <si>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</si>
  <si>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</si>
  <si>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</si>
  <si>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</si>
  <si>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</si>
  <si>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</si>
  <si>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</si>
  <si>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</si>
  <si>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</si>
  <si>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</si>
  <si>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</si>
  <si>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</si>
  <si>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</si>
  <si>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</si>
  <si>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</si>
  <si>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</si>
  <si>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</si>
  <si>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</si>
  <si>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</si>
  <si>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</si>
  <si>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</si>
  <si>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</si>
  <si>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</si>
  <si>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</si>
  <si>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</si>
  <si>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</si>
  <si>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</si>
  <si>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</si>
  <si>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</si>
  <si>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</si>
  <si>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</si>
  <si>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</si>
  <si>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</si>
  <si>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</si>
  <si>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</si>
  <si>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</si>
  <si>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</si>
  <si>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</si>
  <si>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</si>
  <si>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</si>
  <si>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</si>
  <si>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</si>
  <si>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</si>
  <si>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</si>
  <si>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</si>
  <si>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</si>
  <si>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</si>
  <si>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</si>
  <si>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</si>
  <si>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</si>
  <si>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</si>
  <si>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</si>
  <si>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</si>
  <si>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</si>
  <si>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</si>
  <si>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</si>
  <si>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</si>
  <si>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</si>
  <si>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</si>
  <si>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</si>
  <si>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</si>
  <si>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</si>
  <si>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</si>
  <si>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</si>
  <si>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</si>
  <si>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</si>
  <si>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</si>
  <si>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</si>
  <si>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</si>
  <si>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</si>
  <si>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</si>
  <si>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</si>
  <si>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</si>
  <si>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</si>
  <si>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</si>
  <si>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</si>
  <si>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</si>
  <si>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</si>
  <si>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</si>
  <si>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</si>
  <si>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</si>
  <si>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</si>
  <si>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</si>
  <si>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</si>
  <si>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</si>
  <si>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</si>
  <si>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</si>
  <si>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</si>
  <si>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</si>
  <si>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</si>
  <si>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</si>
  <si>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</si>
  <si>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</si>
  <si>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</si>
  <si>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</si>
  <si>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</si>
  <si>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</si>
  <si>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</si>
  <si>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</si>
  <si>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</si>
  <si>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</si>
  <si>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</si>
  <si>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</si>
  <si>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</si>
  <si>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</si>
  <si>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</si>
  <si>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</si>
  <si>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</si>
  <si>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</si>
  <si>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</si>
  <si>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</si>
  <si>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</si>
  <si>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</si>
  <si>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</si>
  <si>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</si>
  <si>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</si>
  <si>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</si>
  <si>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</si>
  <si>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</si>
  <si>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</si>
  <si>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</si>
  <si>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</si>
  <si>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</si>
  <si>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</si>
  <si>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</si>
  <si>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</si>
  <si>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</si>
  <si>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</si>
  <si>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</si>
  <si>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</si>
  <si>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</si>
  <si>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</si>
  <si>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</si>
  <si>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</si>
  <si>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</si>
  <si>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</si>
  <si>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</si>
  <si>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</si>
  <si>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</si>
  <si>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</si>
  <si>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</si>
  <si>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</si>
  <si>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</si>
  <si>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</si>
  <si>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</si>
  <si>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</si>
  <si>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</si>
  <si>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</si>
  <si>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</si>
  <si>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</si>
  <si>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</si>
  <si>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</si>
  <si>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</si>
  <si>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</si>
  <si>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</si>
  <si>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</si>
  <si>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</si>
  <si>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</si>
  <si>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</si>
  <si>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</si>
  <si>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</si>
  <si>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</si>
  <si>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</si>
  <si>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</si>
  <si>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</si>
  <si>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</si>
  <si>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</si>
  <si>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</si>
  <si>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</si>
  <si>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</si>
  <si>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</si>
  <si>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</si>
  <si>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</si>
  <si>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</si>
  <si>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</si>
  <si>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</si>
  <si>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</si>
  <si>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</si>
  <si>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</si>
  <si>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</si>
  <si>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</si>
  <si>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</si>
  <si>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</si>
  <si>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</si>
  <si>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</si>
  <si>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</si>
  <si>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</si>
  <si>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</si>
  <si>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</si>
  <si>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</si>
  <si>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</si>
  <si>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</si>
  <si>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</si>
  <si>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</si>
  <si>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</si>
  <si>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</si>
  <si>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</si>
  <si>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</si>
  <si>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</si>
  <si>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</si>
  <si>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</si>
  <si>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</si>
  <si>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</si>
  <si>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</si>
  <si>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</si>
  <si>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</si>
  <si>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</si>
  <si>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</si>
  <si>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</si>
  <si>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</si>
  <si>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</si>
  <si>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</si>
  <si>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</si>
  <si>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</si>
  <si>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</si>
  <si>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</si>
  <si>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</si>
  <si>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</si>
  <si>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</si>
  <si>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</si>
  <si>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</si>
  <si>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</si>
  <si>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</si>
  <si>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</si>
  <si>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</si>
  <si>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</si>
  <si>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</si>
  <si>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</si>
  <si>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</si>
  <si>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</si>
  <si>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</si>
  <si>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</si>
  <si>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</si>
  <si>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</si>
  <si>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</si>
  <si>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</si>
  <si>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</si>
  <si>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</si>
  <si>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</si>
  <si>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</si>
  <si>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</si>
  <si>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</si>
  <si>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</si>
  <si>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</si>
  <si>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</si>
  <si>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</si>
  <si>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</si>
  <si>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</si>
  <si>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</si>
  <si>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</si>
  <si>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</si>
  <si>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</si>
  <si>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</si>
  <si>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</si>
  <si>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</si>
  <si>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</si>
  <si>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</si>
  <si>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</si>
  <si>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</si>
  <si>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</si>
  <si>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</si>
  <si>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</si>
  <si>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</si>
  <si>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</si>
  <si>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</si>
  <si>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</si>
  <si>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</si>
  <si>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</si>
  <si>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</si>
  <si>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</si>
  <si>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</si>
  <si>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</si>
  <si>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</si>
  <si>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</si>
  <si>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</si>
  <si>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</si>
  <si>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</si>
  <si>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</si>
  <si>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</si>
  <si>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</si>
  <si>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</si>
  <si>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</si>
  <si>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</si>
  <si>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</si>
  <si>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</si>
  <si>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</si>
  <si>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</si>
  <si>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</si>
  <si>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</si>
  <si>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</si>
  <si>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</si>
  <si>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</si>
  <si>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</si>
  <si>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</si>
  <si>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</si>
  <si>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</si>
  <si>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</si>
  <si>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</si>
  <si>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</si>
  <si>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</si>
  <si>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</si>
  <si>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</si>
  <si>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</si>
  <si>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</si>
  <si>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</si>
  <si>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</si>
  <si>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</si>
  <si>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</si>
  <si>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</si>
  <si>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</si>
  <si>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</si>
  <si>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</si>
  <si>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</si>
  <si>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</si>
  <si>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</si>
  <si>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</si>
  <si>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</si>
  <si>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</si>
  <si>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</si>
  <si>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</si>
  <si>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</si>
  <si>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</si>
  <si>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</si>
  <si>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</si>
  <si>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</si>
  <si>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</si>
  <si>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</si>
  <si>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</si>
  <si>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</si>
  <si>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</si>
  <si>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</si>
  <si>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</si>
  <si>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</si>
  <si>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</si>
  <si>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</si>
  <si>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</si>
  <si>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</si>
  <si>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</si>
  <si>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</si>
  <si>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</si>
  <si>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</si>
  <si>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</si>
  <si>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</si>
  <si>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</si>
  <si>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</si>
  <si>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</si>
  <si>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</si>
  <si>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</si>
  <si>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</si>
  <si>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</si>
  <si>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</si>
  <si>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</si>
  <si>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</si>
  <si>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</si>
  <si>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</si>
  <si>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</si>
  <si>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</si>
  <si>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</si>
  <si>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</si>
  <si>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</si>
  <si>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</si>
  <si>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</si>
  <si>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</si>
  <si>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</si>
  <si>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</si>
  <si>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</si>
  <si>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</si>
  <si>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</si>
  <si>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</si>
  <si>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</si>
  <si>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</si>
  <si>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</si>
  <si>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</si>
  <si>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</si>
  <si>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</si>
  <si>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</si>
  <si>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</si>
  <si>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</si>
  <si>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</si>
  <si>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</si>
  <si>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</si>
  <si>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</si>
  <si>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</si>
  <si>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</si>
  <si>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</si>
  <si>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</si>
  <si>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</si>
  <si>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</si>
  <si>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</si>
  <si>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</si>
  <si>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</si>
  <si>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</si>
  <si>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</si>
  <si>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</si>
  <si>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</si>
  <si>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</si>
  <si>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</si>
  <si>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</si>
  <si>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</si>
  <si>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</si>
  <si>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</si>
  <si>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</si>
  <si>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</si>
  <si>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</si>
  <si>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</si>
  <si>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</si>
  <si>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</si>
  <si>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</si>
  <si>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</si>
  <si>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</si>
  <si>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</si>
  <si>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</si>
  <si>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</si>
  <si>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</si>
  <si>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</si>
  <si>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</si>
  <si>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</si>
  <si>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</si>
  <si>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</si>
  <si>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</si>
  <si>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</si>
  <si>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</si>
  <si>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</si>
  <si>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</si>
  <si>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</si>
  <si>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</si>
  <si>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</si>
  <si>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</si>
  <si>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</si>
  <si>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</si>
  <si>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</si>
  <si>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</si>
  <si>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</si>
  <si>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</si>
  <si>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</si>
  <si>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</si>
  <si>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</si>
  <si>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</si>
  <si>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</si>
  <si>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</si>
  <si>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</si>
  <si>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</si>
  <si>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</si>
  <si>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</si>
  <si>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</si>
  <si>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</si>
  <si>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</si>
  <si>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</si>
  <si>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</si>
  <si>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</si>
  <si>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</si>
  <si>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</si>
  <si>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</si>
  <si>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</si>
  <si>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</si>
  <si>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</si>
  <si>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</si>
  <si>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</si>
  <si>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</si>
  <si>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</si>
  <si>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</si>
  <si>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</si>
  <si>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</si>
  <si>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</si>
  <si>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</si>
  <si>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</si>
  <si>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</si>
  <si>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</si>
  <si>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</si>
  <si>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</si>
  <si>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</si>
  <si>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</si>
  <si>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</si>
  <si>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</si>
  <si>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</si>
  <si>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</si>
  <si>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</si>
  <si>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</si>
  <si>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</si>
  <si>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</si>
  <si>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</si>
  <si>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</si>
  <si>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</si>
  <si>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</si>
  <si>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</si>
  <si>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</si>
  <si>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</si>
  <si>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</si>
  <si>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</si>
  <si>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</si>
  <si>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</si>
  <si>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</si>
  <si>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</si>
  <si>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</si>
  <si>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</si>
  <si>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</si>
  <si>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</si>
  <si>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</si>
  <si>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</si>
  <si>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</si>
  <si>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</si>
  <si>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</si>
  <si>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</si>
  <si>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</si>
  <si>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</si>
  <si>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</si>
  <si>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</si>
  <si>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</si>
  <si>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</si>
  <si>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</si>
  <si>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</si>
  <si>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</si>
  <si>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</si>
  <si>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</si>
  <si>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</si>
  <si>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</si>
  <si>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</si>
  <si>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</si>
  <si>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</si>
  <si>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</si>
  <si>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</si>
  <si>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</si>
  <si>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</si>
  <si>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</si>
  <si>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</si>
  <si>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</si>
  <si>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</si>
  <si>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</si>
  <si>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</si>
  <si>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</si>
  <si>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</si>
  <si>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</si>
  <si>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</si>
  <si>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</si>
  <si>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</si>
  <si>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</si>
  <si>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</si>
  <si>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</si>
  <si>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</si>
  <si>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</si>
  <si>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</si>
  <si>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</si>
  <si>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</si>
  <si>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</si>
  <si>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</si>
  <si>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</si>
  <si>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</si>
  <si>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</si>
  <si>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</si>
  <si>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</si>
  <si>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</si>
  <si>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</si>
  <si>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</si>
  <si>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</si>
  <si>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</si>
  <si>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</si>
  <si>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</si>
  <si>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</si>
  <si>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</si>
  <si>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</si>
  <si>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</si>
  <si>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</si>
  <si>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</si>
  <si>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</si>
  <si>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</si>
  <si>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</si>
  <si>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</si>
  <si>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</si>
  <si>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</si>
  <si>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</si>
  <si>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</si>
  <si>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</si>
  <si>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</si>
  <si>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</si>
  <si>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</si>
  <si>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</si>
  <si>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</si>
  <si>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</si>
  <si>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</si>
  <si>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</si>
  <si>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</si>
  <si>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</si>
  <si>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</si>
  <si>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</si>
  <si>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</si>
  <si>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</si>
  <si>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</si>
  <si>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</si>
  <si>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</si>
  <si>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</si>
  <si>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</si>
  <si>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</si>
  <si>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</si>
  <si>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</si>
  <si>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</si>
  <si>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</si>
  <si>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</si>
  <si>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</si>
  <si>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</si>
  <si>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</si>
  <si>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</si>
  <si>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</si>
  <si>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</si>
  <si>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</si>
  <si>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</si>
  <si>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</si>
  <si>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</si>
  <si>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</si>
  <si>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</si>
  <si>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</si>
  <si>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</si>
  <si>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</si>
  <si>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</si>
  <si>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</si>
  <si>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</si>
  <si>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</si>
  <si>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</si>
  <si>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</si>
  <si>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</si>
  <si>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</si>
  <si>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</si>
  <si>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</si>
  <si>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</si>
  <si>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</si>
  <si>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</si>
  <si>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</si>
  <si>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</si>
  <si>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</si>
  <si>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</si>
  <si>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</si>
  <si>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</si>
  <si>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</si>
  <si>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</si>
  <si>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</si>
  <si>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</si>
  <si>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</si>
  <si>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</si>
  <si>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</si>
  <si>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</si>
  <si>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</si>
  <si>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</si>
  <si>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</si>
  <si>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</si>
  <si>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</si>
  <si>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</si>
  <si>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</si>
  <si>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</si>
  <si>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</si>
  <si>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</si>
  <si>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</si>
  <si>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</si>
  <si>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</si>
  <si>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</si>
  <si>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</si>
  <si>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</si>
  <si>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</si>
  <si>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</si>
  <si>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</si>
  <si>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</si>
  <si>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</si>
  <si>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</si>
  <si>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</si>
  <si>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</si>
  <si>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</si>
  <si>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</si>
  <si>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</si>
  <si>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</si>
  <si>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</si>
  <si>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</si>
  <si>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</si>
  <si>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</si>
  <si>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</si>
  <si>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</si>
  <si>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</si>
  <si>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</si>
  <si>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</si>
  <si>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</si>
  <si>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</si>
  <si>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</si>
  <si>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</si>
  <si>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</si>
  <si>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</si>
  <si>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</si>
  <si>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</si>
  <si>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</si>
  <si>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</si>
  <si>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</si>
  <si>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</si>
  <si>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</si>
  <si>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</si>
  <si>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</si>
  <si>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</si>
  <si>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</si>
  <si>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</si>
  <si>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</si>
  <si>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</si>
  <si>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</si>
  <si>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</si>
  <si>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</si>
  <si>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</si>
  <si>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</si>
  <si>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</si>
  <si>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</si>
  <si>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</si>
  <si>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</si>
  <si>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</si>
  <si>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</si>
  <si>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</si>
  <si>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</si>
  <si>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</si>
  <si>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</si>
  <si>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</si>
  <si>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</si>
  <si>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</si>
  <si>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</si>
  <si>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</si>
  <si>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</si>
  <si>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</si>
  <si>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</si>
  <si>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</si>
  <si>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</si>
  <si>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</si>
  <si>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</si>
  <si>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</si>
  <si>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</si>
  <si>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</si>
  <si>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</si>
  <si>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</si>
  <si>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</si>
  <si>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</si>
  <si>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</si>
  <si>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</si>
  <si>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</si>
  <si>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</si>
  <si>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</si>
  <si>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</si>
  <si>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</si>
  <si>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</si>
  <si>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</si>
  <si>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</si>
  <si>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</si>
  <si>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</si>
  <si>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</si>
  <si>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</si>
  <si>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</si>
  <si>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</si>
  <si>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</si>
  <si>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</si>
  <si>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</si>
  <si>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</si>
  <si>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</si>
  <si>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</si>
  <si>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</si>
  <si>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</si>
  <si>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</si>
  <si>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</si>
  <si>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</si>
  <si>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</si>
  <si>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</si>
  <si>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</si>
  <si>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</si>
  <si>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</si>
  <si>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</si>
  <si>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</si>
  <si>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</si>
  <si>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</si>
  <si>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</si>
  <si>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</si>
  <si>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</si>
  <si>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</si>
  <si>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</si>
  <si>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</si>
  <si>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</si>
  <si>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</si>
  <si>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</si>
  <si>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</si>
  <si>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</si>
  <si>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</si>
  <si>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</si>
  <si>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</si>
  <si>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</si>
  <si>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</si>
  <si>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</si>
  <si>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</si>
  <si>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</si>
  <si>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</si>
  <si>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</si>
  <si>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</si>
  <si>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</si>
  <si>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</si>
  <si>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</si>
  <si>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</si>
  <si>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</si>
  <si>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</si>
  <si>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</si>
  <si>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</si>
  <si>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</si>
  <si>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</si>
  <si>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</si>
  <si>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</si>
  <si>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</si>
  <si>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</si>
  <si>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</si>
  <si>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</si>
  <si>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</si>
  <si>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</si>
  <si>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</si>
  <si>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</si>
  <si>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</si>
  <si>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</si>
  <si>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</si>
  <si>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</si>
  <si>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</si>
  <si>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</si>
  <si>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</si>
  <si>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</si>
  <si>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</si>
  <si>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</si>
  <si>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</si>
  <si>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</si>
  <si>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</si>
  <si>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</si>
  <si>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</si>
  <si>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</si>
  <si>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</si>
  <si>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</si>
  <si>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</si>
  <si>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</si>
  <si>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</si>
  <si>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</si>
  <si>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</si>
  <si>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</si>
  <si>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</si>
  <si>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</si>
  <si>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</si>
  <si>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</si>
  <si>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</si>
  <si>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</si>
  <si>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</si>
  <si>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</si>
  <si>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</si>
  <si>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</si>
  <si>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</si>
  <si>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</si>
  <si>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</si>
  <si>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</si>
  <si>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</si>
  <si>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</si>
  <si>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</si>
  <si>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</si>
  <si>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</si>
  <si>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</si>
  <si>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</si>
  <si>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</si>
  <si>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</si>
  <si>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</si>
  <si>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</si>
  <si>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</si>
  <si>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</si>
  <si>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</si>
  <si>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</si>
  <si>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</si>
  <si>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</si>
  <si>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</si>
  <si>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</si>
  <si>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</si>
  <si>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</si>
  <si>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</si>
  <si>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</si>
  <si>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</si>
  <si>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</si>
  <si>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</si>
  <si>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</si>
  <si>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</si>
  <si>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</si>
  <si>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</si>
  <si>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</si>
  <si>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</si>
  <si>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</si>
  <si>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</si>
  <si>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</si>
  <si>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</si>
  <si>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</si>
  <si>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</si>
  <si>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</si>
  <si>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</si>
  <si>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</si>
  <si>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</si>
  <si>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</si>
  <si>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</si>
  <si>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</si>
  <si>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</si>
  <si>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</si>
  <si>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</si>
  <si>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</si>
  <si>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</si>
  <si>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</si>
  <si>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</si>
  <si>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</si>
  <si>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</si>
  <si>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</si>
  <si>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</si>
  <si>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</si>
  <si>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</si>
  <si>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</si>
  <si>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</si>
  <si>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</si>
  <si>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</si>
  <si>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</si>
  <si>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</si>
  <si>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</si>
  <si>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</si>
  <si>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</si>
  <si>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</si>
  <si>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</si>
  <si>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</si>
  <si>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</si>
  <si>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</si>
  <si>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</si>
  <si>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</si>
  <si>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</si>
  <si>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</si>
  <si>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</si>
  <si>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</si>
  <si>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</si>
  <si>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</si>
  <si>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</si>
  <si>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</si>
  <si>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</si>
  <si>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</si>
  <si>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</si>
  <si>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</si>
  <si>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</si>
  <si>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</si>
  <si>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</si>
  <si>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</si>
  <si>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</si>
  <si>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</si>
  <si>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</si>
  <si>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</si>
  <si>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</si>
  <si>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</si>
  <si>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</si>
  <si>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</si>
  <si>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</si>
  <si>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</si>
  <si>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</si>
  <si>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</si>
  <si>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</si>
  <si>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</si>
  <si>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</si>
  <si>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</si>
  <si>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</si>
  <si>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</si>
  <si>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</si>
  <si>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</si>
  <si>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</si>
  <si>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</si>
  <si>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</si>
  <si>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</si>
  <si>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</si>
  <si>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</si>
  <si>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</si>
  <si>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</si>
  <si>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</si>
  <si>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</si>
  <si>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</si>
  <si>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</si>
  <si>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</si>
  <si>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</si>
  <si>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</si>
  <si>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</si>
  <si>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</si>
  <si>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</si>
  <si>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</si>
  <si>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</si>
  <si>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</si>
  <si>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</si>
  <si>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</si>
  <si>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</si>
  <si>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</si>
  <si>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</si>
  <si>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</si>
  <si>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</si>
  <si>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</si>
  <si>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</si>
  <si>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</si>
  <si>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</si>
  <si>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</si>
  <si>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</si>
  <si>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</si>
  <si>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</si>
  <si>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</si>
  <si>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</si>
  <si>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</si>
  <si>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</si>
  <si>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</si>
  <si>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</si>
  <si>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</si>
  <si>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</si>
  <si>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</si>
  <si>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</si>
  <si>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</si>
  <si>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</si>
  <si>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</si>
  <si>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</si>
  <si>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</si>
  <si>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</si>
  <si>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</si>
  <si>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</si>
  <si>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</si>
  <si>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</si>
  <si>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</si>
  <si>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</si>
  <si>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</si>
  <si>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</si>
  <si>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</si>
  <si>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</si>
  <si>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</si>
  <si>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</si>
  <si>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</si>
  <si>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</si>
  <si>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</si>
  <si>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</si>
  <si>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</si>
  <si>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</si>
  <si>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</si>
  <si>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</si>
  <si>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</si>
  <si>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</si>
  <si>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</si>
  <si>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</si>
  <si>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</si>
  <si>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</si>
  <si>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</si>
  <si>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</si>
  <si>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</si>
  <si>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</si>
  <si>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</si>
  <si>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</si>
  <si>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</si>
  <si>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</si>
  <si>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</si>
  <si>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</si>
  <si>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</si>
  <si>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</si>
  <si>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</si>
  <si>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</si>
  <si>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</si>
  <si>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</si>
  <si>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</si>
  <si>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</si>
  <si>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</si>
  <si>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</si>
  <si>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</si>
  <si>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</si>
  <si>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</si>
  <si>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</si>
  <si>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</si>
  <si>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</si>
  <si>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</si>
  <si>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</si>
  <si>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</si>
  <si>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</si>
  <si>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</si>
  <si>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</si>
  <si>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</si>
  <si>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</si>
  <si>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</si>
  <si>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</si>
  <si>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</si>
  <si>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</si>
  <si>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</si>
  <si>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</si>
  <si>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</si>
  <si>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</si>
  <si>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</si>
  <si>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</si>
  <si>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</si>
  <si>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</si>
  <si>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</si>
  <si>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</si>
  <si>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</si>
  <si>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</si>
  <si>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</si>
  <si>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</si>
  <si>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</si>
  <si>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</si>
  <si>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</si>
  <si>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</si>
  <si>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</si>
  <si>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</si>
  <si>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</si>
  <si>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</si>
  <si>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</si>
  <si>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</si>
  <si>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</si>
  <si>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</si>
  <si>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</si>
  <si>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</si>
  <si>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</si>
  <si>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</si>
  <si>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</si>
  <si>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</si>
  <si>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</si>
  <si>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</si>
  <si>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</si>
  <si>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</si>
  <si>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</si>
  <si>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</si>
  <si>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</si>
  <si>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</si>
  <si>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</si>
  <si>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</si>
  <si>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</si>
  <si>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</si>
  <si>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</si>
  <si>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</si>
  <si>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</si>
  <si>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</si>
  <si>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</si>
  <si>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</si>
  <si>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</si>
  <si>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</si>
  <si>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</si>
  <si>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</si>
  <si>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</si>
  <si>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</si>
  <si>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</si>
  <si>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</si>
  <si>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</si>
  <si>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</si>
  <si>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</si>
  <si>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</si>
  <si>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</si>
  <si>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</si>
  <si>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</si>
  <si>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</si>
  <si>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</si>
  <si>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</si>
  <si>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</si>
  <si>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</si>
  <si>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</si>
  <si>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</si>
  <si>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</si>
  <si>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</si>
  <si>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</si>
  <si>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</si>
  <si>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</si>
  <si>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</si>
  <si>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</si>
  <si>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</si>
  <si>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</si>
  <si>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</si>
  <si>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</si>
  <si>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</si>
  <si>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</si>
  <si>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</si>
  <si>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</si>
  <si>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</si>
  <si>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</si>
  <si>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</si>
  <si>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</si>
  <si>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</si>
  <si>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</si>
  <si>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</si>
  <si>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</si>
  <si>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</si>
  <si>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</si>
  <si>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</si>
  <si>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</si>
  <si>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</si>
  <si>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</si>
  <si>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</si>
  <si>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</si>
  <si>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</si>
  <si>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</si>
  <si>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</si>
  <si>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</si>
  <si>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</si>
  <si>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</si>
  <si>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</si>
  <si>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</si>
  <si>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</si>
  <si>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</si>
  <si>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</si>
  <si>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</si>
  <si>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</si>
  <si>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</si>
  <si>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</si>
  <si>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</si>
  <si>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</si>
  <si>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</si>
  <si>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</si>
  <si>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</si>
  <si>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</si>
  <si>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</si>
  <si>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</si>
  <si>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</si>
  <si>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</si>
  <si>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</si>
  <si>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</si>
  <si>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</si>
  <si>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</si>
  <si>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</si>
  <si>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</si>
  <si>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</si>
  <si>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</si>
  <si>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</si>
  <si>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</si>
  <si>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</si>
  <si>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</si>
  <si>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</si>
  <si>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</si>
  <si>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</si>
  <si>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</si>
  <si>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</si>
  <si>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</si>
  <si>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</si>
  <si>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</si>
  <si>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</si>
  <si>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</si>
  <si>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</si>
  <si>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</si>
  <si>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</si>
  <si>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</si>
  <si>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</si>
  <si>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</si>
  <si>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</si>
  <si>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</si>
  <si>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</si>
  <si>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</si>
  <si>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</si>
  <si>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</si>
  <si>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</si>
  <si>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</si>
  <si>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</si>
  <si>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</si>
  <si>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</si>
  <si>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</si>
  <si>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</si>
  <si>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</si>
  <si>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</si>
  <si>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</si>
  <si>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</si>
  <si>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</si>
  <si>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</si>
  <si>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</si>
  <si>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</si>
  <si>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</si>
  <si>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</si>
  <si>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</si>
  <si>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</si>
  <si>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</si>
  <si>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</si>
  <si>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</si>
  <si>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</si>
  <si>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</si>
  <si>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</si>
  <si>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</si>
  <si>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</si>
  <si>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</si>
  <si>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</si>
  <si>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</si>
  <si>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</si>
  <si>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</si>
  <si>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</si>
  <si>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</si>
  <si>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</si>
  <si>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</si>
  <si>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</si>
  <si>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</si>
  <si>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</si>
  <si>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</si>
  <si>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</si>
  <si>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</si>
  <si>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</si>
  <si>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</si>
  <si>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</si>
  <si>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</si>
  <si>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</si>
  <si>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</si>
  <si>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</si>
  <si>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</si>
  <si>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</si>
  <si>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</si>
  <si>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</si>
  <si>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</si>
  <si>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</si>
  <si>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</si>
  <si>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</si>
  <si>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</si>
  <si>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</si>
  <si>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</si>
  <si>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</si>
  <si>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</si>
  <si>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</si>
  <si>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</si>
  <si>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</si>
  <si>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</si>
  <si>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</si>
  <si>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</si>
  <si>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</si>
  <si>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</si>
  <si>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</si>
  <si>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</si>
  <si>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</si>
  <si>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</si>
  <si>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</si>
  <si>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</si>
  <si>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</si>
  <si>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</si>
  <si>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</si>
  <si>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</si>
  <si>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</si>
  <si>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</si>
  <si>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</si>
  <si>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</si>
  <si>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</si>
  <si>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</si>
  <si>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</si>
  <si>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</si>
  <si>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</si>
  <si>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</si>
  <si>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</si>
  <si>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</si>
  <si>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</si>
  <si>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</si>
  <si>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</si>
  <si>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</si>
  <si>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</si>
  <si>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</si>
  <si>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</si>
  <si>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</si>
  <si>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</si>
  <si>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</si>
  <si>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</si>
  <si>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</si>
  <si>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</si>
  <si>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</si>
  <si>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</si>
  <si>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</si>
  <si>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</si>
  <si>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</si>
  <si>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</si>
  <si>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</si>
  <si>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</si>
  <si>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</si>
  <si>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</si>
  <si>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</si>
  <si>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</si>
  <si>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</si>
  <si>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</si>
  <si>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</si>
  <si>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</si>
  <si>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</si>
  <si>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</si>
  <si>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</si>
  <si>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</si>
  <si>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</si>
  <si>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</si>
  <si>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</si>
  <si>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</si>
  <si>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</si>
  <si>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</si>
  <si>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</si>
  <si>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</si>
  <si>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</si>
  <si>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</si>
  <si>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</si>
  <si>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</si>
  <si>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</si>
  <si>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</si>
  <si>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</si>
  <si>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</si>
  <si>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</si>
  <si>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</si>
  <si>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</si>
  <si>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</si>
  <si>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</si>
  <si>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</si>
  <si>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</si>
  <si>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</si>
  <si>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</si>
  <si>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</si>
  <si>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</si>
  <si>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</si>
  <si>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</si>
  <si>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</si>
  <si>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</si>
  <si>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</si>
  <si>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</si>
  <si>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</si>
  <si>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</si>
  <si>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</si>
  <si>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</si>
  <si>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</si>
  <si>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</si>
  <si>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</si>
  <si>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</si>
  <si>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</si>
  <si>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</si>
  <si>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</si>
  <si>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</si>
  <si>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</si>
  <si>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</si>
  <si>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</si>
  <si>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</si>
  <si>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</si>
  <si>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</si>
  <si>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</si>
  <si>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</si>
  <si>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</si>
  <si>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</si>
  <si>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</si>
  <si>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</si>
  <si>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</si>
  <si>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</si>
  <si>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</si>
  <si>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</si>
  <si>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</si>
  <si>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</si>
  <si>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</si>
  <si>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</si>
  <si>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</si>
  <si>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</si>
  <si>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</si>
  <si>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</si>
  <si>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</si>
  <si>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</si>
  <si>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</si>
  <si>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</si>
  <si>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</si>
  <si>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</si>
  <si>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</si>
  <si>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</si>
  <si>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</si>
  <si>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</si>
  <si>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</si>
  <si>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</si>
  <si>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</si>
  <si>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</si>
  <si>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</si>
  <si>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</si>
  <si>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</si>
  <si>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</si>
  <si>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</si>
  <si>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</si>
  <si>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</si>
  <si>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</si>
  <si>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</si>
  <si>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</si>
  <si>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</si>
  <si>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</si>
  <si>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</si>
  <si>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</si>
  <si>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</si>
  <si>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</si>
  <si>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</si>
  <si>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</si>
  <si>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</si>
  <si>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</si>
  <si>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</si>
  <si>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</si>
  <si>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</si>
  <si>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</si>
  <si>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</si>
  <si>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</si>
  <si>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</si>
  <si>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</si>
  <si>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</si>
  <si>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</si>
  <si>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</si>
  <si>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</si>
  <si>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</si>
  <si>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</si>
  <si>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</si>
  <si>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</si>
  <si>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</si>
  <si>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</si>
  <si>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</si>
  <si>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</si>
  <si>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</si>
  <si>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</si>
  <si>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</si>
  <si>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</si>
  <si>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</si>
  <si>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</si>
  <si>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</si>
  <si>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</si>
  <si>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</si>
  <si>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</si>
  <si>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</si>
  <si>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</si>
  <si>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</si>
  <si>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</si>
  <si>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</si>
  <si>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</si>
  <si>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</si>
  <si>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</si>
  <si>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</si>
  <si>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</si>
  <si>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</si>
  <si>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</si>
  <si>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</si>
  <si>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</si>
  <si>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</si>
  <si>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</si>
  <si>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</si>
  <si>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</si>
  <si>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</si>
  <si>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</si>
  <si>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</si>
  <si>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</si>
  <si>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</si>
  <si>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</si>
  <si>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</si>
  <si>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</si>
  <si>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</si>
  <si>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</si>
  <si>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</si>
  <si>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</si>
  <si>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</si>
  <si>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</si>
  <si>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</si>
  <si>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</si>
  <si>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</si>
  <si>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</si>
  <si>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</si>
  <si>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</si>
  <si>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</si>
  <si>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</si>
  <si>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</si>
  <si>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</si>
  <si>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</si>
  <si>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</si>
  <si>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</si>
  <si>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</si>
  <si>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</si>
  <si>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</si>
  <si>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</si>
  <si>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</si>
  <si>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</si>
  <si>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</si>
  <si>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</si>
  <si>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</si>
  <si>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</si>
  <si>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</si>
  <si>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</si>
  <si>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</si>
  <si>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</si>
  <si>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</si>
  <si>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</si>
  <si>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</si>
  <si>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</si>
  <si>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</si>
  <si>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</si>
  <si>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</si>
  <si>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</si>
  <si>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</si>
  <si>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</si>
  <si>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</si>
  <si>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</si>
  <si>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</si>
  <si>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</si>
  <si>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</si>
  <si>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</si>
  <si>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</si>
  <si>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</si>
  <si>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</si>
  <si>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</si>
  <si>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</si>
  <si>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</si>
  <si>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</si>
  <si>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</si>
  <si>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</si>
  <si>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</si>
  <si>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</si>
  <si>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</si>
  <si>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</si>
  <si>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</si>
  <si>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</si>
  <si>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</si>
  <si>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</si>
  <si>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</si>
  <si>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</si>
  <si>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</si>
  <si>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</si>
  <si>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</si>
  <si>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</si>
  <si>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</si>
  <si>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</si>
  <si>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</si>
  <si>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</si>
  <si>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</si>
  <si>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</si>
  <si>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</si>
  <si>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</si>
  <si>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</si>
  <si>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</si>
  <si>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</si>
  <si>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</si>
  <si>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</si>
  <si>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</si>
  <si>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</si>
  <si>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</si>
  <si>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</si>
  <si>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</si>
  <si>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</si>
  <si>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</si>
  <si>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</si>
  <si>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</si>
  <si>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</si>
  <si>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</si>
  <si>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</si>
  <si>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</si>
  <si>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</si>
  <si>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</si>
  <si>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</si>
  <si>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</si>
  <si>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</si>
  <si>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</si>
  <si>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</si>
  <si>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</si>
  <si>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</si>
  <si>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</si>
  <si>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</si>
  <si>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</si>
  <si>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</si>
  <si>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</si>
  <si>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</si>
  <si>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</si>
  <si>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</si>
  <si>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</si>
  <si>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</si>
  <si>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</si>
  <si>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</si>
  <si>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</si>
  <si>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</si>
  <si>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</si>
  <si>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</si>
  <si>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</si>
  <si>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</si>
  <si>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</si>
  <si>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</si>
  <si>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</si>
  <si>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</si>
  <si>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</si>
  <si>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</si>
  <si>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</si>
  <si>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</si>
  <si>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</si>
  <si>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</si>
  <si>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</si>
  <si>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</si>
  <si>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</si>
  <si>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</si>
  <si>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</si>
  <si>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</si>
  <si>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</si>
  <si>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</si>
  <si>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</si>
  <si>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</si>
  <si>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</si>
  <si>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</si>
  <si>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</si>
  <si>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</si>
  <si>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</si>
  <si>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</si>
  <si>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</si>
  <si>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</si>
  <si>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</si>
  <si>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</si>
  <si>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</si>
  <si>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</si>
  <si>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</si>
  <si>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</si>
  <si>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</si>
  <si>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</si>
  <si>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</si>
  <si>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</si>
  <si>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</si>
  <si>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</si>
  <si>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</si>
  <si>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</si>
  <si>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</si>
  <si>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</si>
  <si>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</si>
  <si>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</si>
  <si>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</si>
  <si>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</si>
  <si>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</si>
  <si>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</si>
  <si>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</si>
  <si>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</si>
  <si>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</si>
  <si>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</si>
  <si>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</si>
  <si>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</si>
  <si>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</si>
  <si>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</si>
  <si>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</si>
  <si>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</si>
  <si>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</si>
  <si>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</si>
  <si>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</si>
  <si>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</si>
  <si>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</si>
  <si>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</si>
  <si>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</si>
  <si>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</si>
  <si>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</si>
  <si>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</si>
  <si>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</si>
  <si>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</si>
  <si>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</si>
  <si>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</si>
  <si>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</si>
  <si>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</si>
  <si>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</si>
  <si>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</si>
  <si>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</si>
  <si>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</si>
  <si>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</si>
  <si>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</si>
  <si>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</si>
  <si>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</si>
  <si>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</si>
  <si>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</si>
  <si>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</si>
  <si>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</si>
  <si>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</si>
  <si>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</si>
  <si>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</si>
  <si>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</si>
  <si>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</si>
  <si>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</si>
  <si>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</si>
  <si>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</si>
  <si>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</si>
  <si>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</si>
  <si>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</si>
  <si>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</si>
  <si>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</si>
  <si>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</si>
  <si>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</si>
  <si>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</si>
  <si>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</si>
  <si>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</si>
  <si>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</si>
  <si>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</si>
  <si>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</si>
  <si>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</si>
  <si>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</si>
  <si>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</si>
  <si>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</si>
  <si>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</si>
  <si>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</si>
  <si>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</si>
  <si>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</si>
  <si>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</si>
  <si>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</si>
  <si>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</si>
  <si>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</si>
  <si>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</si>
  <si>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</si>
  <si>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</si>
  <si>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</si>
  <si>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</si>
  <si>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</si>
  <si>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</si>
  <si>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</si>
  <si>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</si>
  <si>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</si>
  <si>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</si>
  <si>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</si>
  <si>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</si>
  <si>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</si>
  <si>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</si>
  <si>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</si>
  <si>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</si>
  <si>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</si>
  <si>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</si>
  <si>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</si>
  <si>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</si>
  <si>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</si>
  <si>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</si>
  <si>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</si>
  <si>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</si>
  <si>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</si>
  <si>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</si>
  <si>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</si>
  <si>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</si>
  <si>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</si>
  <si>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</si>
  <si>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</si>
  <si>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</si>
  <si>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</si>
  <si>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</si>
  <si>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</si>
  <si>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</si>
  <si>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</si>
  <si>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</si>
  <si>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</si>
  <si>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</si>
  <si>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</si>
  <si>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</si>
  <si>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</si>
  <si>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</si>
  <si>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</si>
  <si>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</si>
  <si>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</si>
  <si>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</si>
  <si>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</si>
  <si>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</si>
  <si>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</si>
  <si>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</si>
  <si>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</si>
  <si>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</si>
  <si>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</si>
  <si>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</si>
  <si>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</si>
  <si>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</si>
  <si>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</si>
  <si>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</si>
  <si>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</si>
  <si>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</si>
  <si>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</si>
  <si>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</si>
  <si>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</si>
  <si>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</si>
  <si>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</si>
  <si>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</si>
  <si>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</si>
  <si>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</si>
  <si>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</si>
  <si>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</si>
  <si>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</si>
  <si>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</si>
  <si>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</si>
  <si>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</si>
  <si>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</si>
  <si>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</si>
  <si>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</si>
  <si>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</si>
  <si>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</si>
  <si>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</si>
  <si>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</si>
  <si>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</si>
  <si>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</si>
  <si>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</si>
  <si>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</si>
  <si>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</si>
  <si>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</si>
  <si>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</si>
  <si>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</si>
  <si>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</si>
  <si>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</si>
  <si>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</si>
  <si>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</si>
  <si>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</si>
  <si>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</si>
  <si>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</si>
  <si>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</si>
  <si>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</si>
  <si>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</si>
  <si>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</si>
  <si>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</si>
  <si>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</si>
  <si>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</si>
  <si>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</si>
  <si>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</si>
  <si>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</si>
  <si>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</si>
  <si>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</si>
  <si>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</si>
  <si>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</si>
  <si>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</si>
  <si>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</si>
  <si>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</si>
  <si>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</si>
  <si>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</si>
  <si>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</si>
  <si>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</si>
  <si>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</si>
  <si>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</si>
  <si>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</si>
  <si>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</si>
  <si>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</si>
  <si>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</si>
  <si>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</si>
  <si>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</si>
  <si>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</si>
  <si>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</si>
  <si>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</si>
  <si>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</si>
  <si>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</si>
  <si>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</si>
  <si>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</si>
  <si>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</si>
  <si>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</si>
  <si>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</si>
  <si>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</si>
  <si>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</si>
  <si>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</si>
  <si>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</si>
  <si>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</si>
  <si>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</si>
  <si>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</si>
  <si>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</si>
  <si>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</si>
  <si>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</si>
  <si>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</si>
  <si>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</si>
  <si>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</si>
  <si>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</si>
  <si>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</si>
  <si>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</si>
  <si>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</si>
  <si>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</si>
  <si>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</si>
  <si>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</si>
  <si>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</si>
  <si>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</si>
  <si>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</si>
  <si>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</si>
  <si>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</si>
  <si>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</si>
  <si>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</si>
  <si>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</si>
  <si>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</si>
  <si>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</si>
  <si>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</si>
  <si>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</si>
  <si>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</si>
  <si>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</si>
  <si>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</si>
  <si>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</si>
  <si>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</si>
  <si>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</si>
  <si>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</si>
  <si>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</si>
  <si>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</si>
  <si>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</si>
  <si>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</si>
  <si>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</si>
  <si>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</si>
  <si>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</si>
  <si>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</si>
  <si>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</si>
  <si>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</si>
  <si>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</si>
  <si>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</si>
  <si>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</si>
  <si>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</si>
  <si>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</si>
  <si>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</si>
  <si>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</si>
  <si>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</si>
  <si>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</si>
  <si>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</si>
  <si>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</si>
  <si>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</si>
  <si>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</si>
  <si>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</si>
  <si>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</si>
  <si>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</si>
  <si>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</si>
  <si>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</si>
  <si>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</si>
  <si>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</si>
  <si>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</si>
  <si>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</si>
  <si>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</si>
  <si>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</si>
  <si>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</si>
  <si>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</si>
  <si>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</si>
  <si>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</si>
  <si>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</si>
  <si>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</si>
  <si>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</si>
  <si>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</si>
  <si>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</si>
  <si>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</si>
  <si>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</si>
  <si>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</si>
  <si>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</si>
  <si>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</si>
  <si>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</si>
  <si>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</si>
  <si>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</si>
  <si>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</si>
  <si>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</si>
  <si>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</si>
  <si>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</si>
  <si>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</si>
  <si>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</si>
  <si>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</si>
  <si>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</si>
  <si>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</si>
  <si>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</si>
  <si>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</si>
  <si>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</si>
  <si>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</si>
  <si>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</si>
  <si>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</si>
  <si>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</si>
  <si>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</si>
  <si>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</si>
  <si>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</si>
  <si>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</si>
  <si>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</si>
  <si>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</si>
  <si>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</si>
  <si>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</si>
  <si>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</si>
  <si>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</si>
  <si>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</si>
  <si>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</si>
  <si>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</si>
  <si>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</si>
  <si>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</si>
  <si>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</si>
  <si>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</si>
  <si>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</si>
  <si>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</si>
  <si>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</si>
  <si>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</si>
  <si>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</si>
  <si>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</si>
  <si>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</si>
  <si>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</si>
  <si>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</si>
  <si>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</si>
  <si>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</si>
  <si>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</si>
  <si>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</si>
  <si>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</si>
  <si>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</si>
  <si>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</si>
  <si>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</si>
  <si>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</si>
  <si>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</si>
  <si>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</si>
  <si>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</si>
  <si>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</si>
  <si>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</si>
  <si>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</si>
  <si>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</si>
  <si>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</si>
  <si>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</si>
  <si>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</si>
  <si>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</si>
  <si>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</si>
  <si>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</si>
  <si>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</si>
  <si>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</si>
  <si>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</si>
  <si>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</si>
  <si>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</si>
  <si>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</si>
  <si>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</si>
  <si>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</si>
  <si>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</si>
  <si>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</si>
  <si>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</si>
  <si>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</si>
  <si>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</si>
  <si>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</si>
  <si>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</si>
  <si>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</si>
  <si>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</si>
  <si>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</si>
  <si>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</si>
  <si>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</si>
  <si>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</si>
  <si>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</si>
  <si>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</si>
  <si>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</si>
  <si>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</si>
  <si>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</si>
  <si>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</si>
  <si>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</si>
  <si>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</si>
  <si>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</si>
  <si>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</si>
  <si>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</si>
  <si>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</si>
  <si>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</si>
  <si>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</si>
  <si>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</si>
  <si>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</si>
  <si>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</si>
  <si>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</si>
  <si>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</si>
  <si>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</si>
  <si>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</si>
  <si>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</si>
  <si>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</si>
  <si>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</si>
  <si>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</si>
  <si>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</si>
  <si>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</si>
  <si>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</si>
  <si>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</si>
  <si>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</si>
  <si>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</si>
  <si>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</si>
  <si>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</si>
  <si>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</si>
  <si>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</si>
  <si>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</si>
  <si>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</si>
  <si>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</si>
  <si>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</si>
  <si>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</si>
  <si>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</si>
  <si>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</si>
  <si>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</si>
  <si>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</si>
  <si>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</si>
  <si>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</si>
  <si>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</si>
  <si>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</si>
  <si>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</si>
  <si>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</si>
  <si>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</si>
  <si>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</si>
  <si>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</si>
  <si>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</si>
  <si>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</si>
  <si>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</si>
  <si>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</si>
  <si>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</si>
  <si>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</si>
  <si>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</si>
  <si>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</si>
  <si>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</si>
  <si>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</si>
  <si>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</si>
  <si>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</si>
  <si>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</si>
  <si>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</si>
  <si>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</si>
  <si>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</si>
  <si>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</si>
  <si>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</si>
  <si>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</si>
  <si>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</si>
  <si>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</si>
  <si>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</si>
  <si>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</si>
  <si>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</si>
  <si>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</si>
  <si>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</si>
  <si>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</si>
  <si>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</si>
  <si>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</si>
  <si>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</si>
  <si>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</si>
  <si>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</si>
  <si>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</si>
  <si>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</si>
  <si>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</si>
  <si>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</si>
  <si>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</si>
  <si>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</si>
  <si>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</si>
  <si>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</si>
  <si>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</si>
  <si>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</si>
  <si>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</si>
  <si>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</si>
  <si>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</si>
  <si>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</si>
  <si>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</si>
  <si>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</si>
  <si>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</si>
  <si>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</si>
  <si>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</si>
  <si>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</si>
  <si>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</si>
  <si>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</si>
  <si>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</si>
  <si>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</si>
  <si>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</si>
  <si>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</si>
  <si>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</si>
  <si>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</si>
  <si>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</si>
  <si>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</si>
  <si>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</si>
  <si>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</si>
  <si>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</si>
  <si>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</si>
  <si>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</si>
  <si>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</si>
  <si>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</si>
  <si>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</si>
  <si>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</si>
  <si>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</si>
  <si>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</si>
  <si>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</si>
  <si>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</si>
  <si>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</si>
  <si>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</si>
  <si>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</si>
  <si>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</si>
  <si>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</si>
  <si>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</si>
  <si>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</si>
  <si>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</si>
  <si>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</si>
  <si>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</si>
  <si>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</si>
  <si>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</si>
  <si>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</si>
  <si>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</si>
  <si>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</si>
  <si>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</si>
  <si>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</si>
  <si>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</si>
  <si>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</si>
  <si>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</si>
  <si>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</si>
  <si>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</si>
  <si>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</si>
  <si>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</si>
  <si>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</si>
  <si>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</si>
  <si>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</si>
  <si>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</si>
  <si>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</si>
  <si>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</si>
  <si>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</si>
  <si>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</si>
  <si>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</si>
  <si>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</si>
  <si>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</si>
  <si>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</si>
  <si>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</si>
  <si>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</si>
  <si>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</si>
  <si>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</si>
  <si>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</si>
  <si>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</si>
  <si>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</si>
  <si>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</si>
  <si>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</si>
  <si>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</si>
  <si>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</si>
  <si>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</si>
  <si>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</si>
  <si>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</si>
  <si>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</si>
  <si>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</si>
  <si>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</si>
  <si>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</si>
  <si>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</si>
  <si>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</si>
  <si>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</si>
  <si>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</si>
  <si>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</si>
  <si>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</si>
  <si>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</si>
  <si>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</si>
  <si>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</si>
  <si>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</si>
  <si>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</si>
  <si>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</si>
  <si>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</si>
  <si>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</si>
  <si>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</si>
  <si>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</si>
  <si>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</si>
  <si>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</si>
  <si>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</si>
  <si>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</si>
  <si>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</si>
  <si>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</si>
  <si>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</si>
  <si>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</si>
  <si>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</si>
  <si>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</si>
  <si>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</si>
  <si>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</si>
  <si>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</si>
  <si>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</si>
  <si>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</si>
  <si>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</si>
  <si>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</si>
  <si>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</si>
  <si>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</si>
  <si>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</si>
  <si>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</si>
  <si>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</si>
  <si>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</si>
  <si>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</si>
  <si>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</si>
  <si>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</si>
  <si>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</si>
  <si>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</si>
  <si>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</si>
  <si>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</si>
  <si>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</si>
  <si>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</si>
  <si>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</si>
  <si>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</si>
  <si>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</si>
  <si>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</si>
  <si>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</si>
  <si>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</si>
  <si>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</si>
  <si>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</si>
  <si>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</si>
  <si>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</si>
  <si>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</si>
  <si>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</si>
  <si>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</si>
  <si>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</si>
  <si>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</si>
  <si>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</si>
  <si>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</si>
  <si>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</si>
  <si>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</si>
  <si>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</si>
  <si>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</si>
  <si>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</si>
  <si>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</si>
  <si>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</si>
  <si>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</si>
  <si>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</si>
  <si>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</si>
  <si>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</si>
  <si>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</si>
  <si>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</si>
  <si>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</si>
  <si>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</si>
  <si>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</si>
  <si>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</si>
  <si>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</si>
  <si>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</si>
  <si>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</si>
  <si>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</si>
  <si>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</si>
  <si>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</si>
  <si>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</si>
  <si>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</si>
  <si>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</si>
  <si>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</si>
  <si>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</si>
  <si>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</si>
  <si>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</si>
  <si>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</si>
  <si>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</si>
  <si>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</si>
  <si>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</si>
  <si>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</si>
  <si>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</si>
  <si>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</si>
  <si>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</si>
  <si>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</si>
  <si>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</si>
  <si>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</si>
  <si>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</si>
  <si>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</si>
  <si>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</si>
  <si>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</si>
  <si>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</si>
  <si>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</si>
  <si>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</si>
  <si>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</si>
  <si>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</si>
  <si>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</si>
  <si>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</si>
  <si>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</si>
  <si>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</si>
  <si>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</si>
  <si>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</si>
  <si>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</si>
  <si>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</si>
  <si>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</si>
  <si>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</si>
  <si>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</si>
  <si>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</si>
  <si>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</si>
  <si>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</si>
  <si>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</si>
  <si>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</si>
  <si>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</si>
  <si>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</si>
  <si>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</si>
  <si>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</si>
  <si>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</si>
  <si>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</si>
  <si>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</si>
  <si>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</si>
  <si>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</si>
  <si>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</si>
  <si>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</si>
  <si>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</si>
  <si>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</si>
  <si>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</si>
  <si>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</si>
  <si>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</si>
  <si>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</si>
  <si>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</si>
  <si>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</si>
  <si>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</si>
  <si>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</si>
  <si>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</si>
  <si>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</si>
  <si>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</si>
  <si>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</si>
  <si>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</si>
  <si>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</si>
  <si>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</si>
  <si>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</si>
  <si>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</si>
  <si>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</si>
  <si>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</si>
  <si>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</si>
  <si>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</si>
  <si>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</si>
  <si>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</si>
  <si>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</si>
  <si>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</si>
  <si>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</si>
  <si>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</si>
  <si>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</si>
  <si>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</si>
  <si>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</si>
  <si>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</si>
  <si>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</si>
  <si>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</si>
  <si>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</si>
  <si>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</si>
  <si>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</si>
  <si>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</si>
  <si>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</si>
  <si>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</si>
  <si>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</si>
  <si>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</si>
  <si>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</si>
  <si>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</si>
  <si>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</si>
  <si>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</si>
  <si>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</si>
  <si>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</si>
  <si>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</si>
  <si>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</si>
  <si>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</si>
  <si>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</si>
  <si>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</si>
  <si>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</si>
  <si>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</si>
  <si>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</si>
  <si>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</si>
  <si>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</si>
  <si>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</si>
  <si>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</si>
  <si>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</si>
  <si>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</si>
  <si>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</si>
  <si>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</si>
  <si>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</si>
  <si>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</si>
  <si>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</si>
  <si>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</si>
  <si>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</si>
  <si>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</si>
  <si>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</si>
  <si>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</si>
  <si>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</si>
  <si>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</si>
  <si>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</si>
  <si>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</si>
  <si>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</si>
  <si>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</si>
  <si>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</si>
  <si>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</si>
  <si>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</si>
  <si>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</si>
  <si>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</si>
  <si>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</si>
  <si>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</si>
  <si>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</si>
  <si>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</si>
  <si>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</si>
  <si>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</si>
  <si>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</si>
  <si>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</si>
  <si>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</si>
  <si>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</si>
  <si>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</si>
  <si>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</si>
  <si>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</si>
  <si>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</si>
  <si>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</si>
  <si>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</si>
  <si>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</si>
  <si>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DUNS</t>
  </si>
  <si>
    <t>We source exclusively Conflict-Free material from RMI certified smelters according to the requirements of the OECD Due Dilligence Guideline, EU Conflict Minerals Regulation, and Dodd-Frank Act.</t>
  </si>
  <si>
    <t>100%</t>
  </si>
  <si>
    <t>We´ve established a raw material procurement policy acc. to OECD DD Guideline Annex II as we´re not sourcing minerals.</t>
  </si>
  <si>
    <t>Please see RCOI-List, available at the RMI Homepage</t>
  </si>
  <si>
    <t>Elmet Technologies LLC (includes Elmet Coldwater LLC and Elmet Euclid LLC)</t>
  </si>
  <si>
    <t>079721699</t>
  </si>
  <si>
    <t>1560 Lisbon St, Lewiston, ME  04240</t>
  </si>
  <si>
    <t>Brad Lemon</t>
  </si>
  <si>
    <t>blemon@elmettech.com</t>
  </si>
  <si>
    <t>517-279-3664</t>
  </si>
  <si>
    <t>Director of Supply Chain</t>
  </si>
  <si>
    <t>https://www.elmettechnologies.com/about-elmet/customer-resources/</t>
  </si>
  <si>
    <t>Tim Nicholson</t>
  </si>
  <si>
    <t>tnicholson@elmettech.com</t>
  </si>
  <si>
    <t>Producer of Tungsten Metal Powder and tungsten products. Processor of tantalum provided by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</si>
</sst>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lemon@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tnicholson@elmettech.com" TargetMode="External"/><Relationship Id="rId4" Type="http://schemas.openxmlformats.org/officeDocument/2006/relationships/hyperlink" Target="https://www.elmettechnologies.com/about-elmet/customer-resourc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458FE05-3265-4C3E-AD9E-8F2DE31066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5FAED9-0AF4-476B-8709-A6C90B974E8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37" sqref="H37:J3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15800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15810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45352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t="s">
        <v>15796</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t="s">
        <v>15796</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4" t="s">
        <v>15796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4" t="s">
        <v>15796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t="s">
        <v>15796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15796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t="s">
        <v>15796</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t="s">
        <v>15796</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15797</v>
      </c>
      <c r="E56" s="369"/>
      <c r="F56" s="47"/>
      <c r="G56" s="334" t="s">
        <v>15796</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15797</v>
      </c>
      <c r="E59" s="369"/>
      <c r="F59" s="47"/>
      <c r="G59" s="334" t="s">
        <v>15796</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15798</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2480</v>
      </c>
      <c r="D100" s="282" t="str">
        <f>IF(AND(OR($D$27="Yes",$D$27=""),OR($D$33="Yes",$D$33="")),"No","")</f>
        <v/>
      </c>
      <c r="E100" s="282" t="str">
        <f>IF(AND(OR($D$26="Yes",$D$26=""),OR($D$32="Yes",$D$32="")),"50% or less","")</f>
        <v>50% or less</v>
      </c>
      <c r="G100" s="282" t="str">
        <f>IF(OR($D$28="Yes",$D$28=""),"Yes","")</f>
        <v/>
      </c>
    </row>
    <row r="101" spans="2:7" ht="15.75" hidden="1">
      <c r="B101" s="236" t="s">
        <v>2481</v>
      </c>
      <c r="D101" s="282" t="str">
        <f>IF(AND(OR($D$27="Yes",$D$27=""),OR($D$33="Yes",$D$33="")),"Unknown","")</f>
        <v/>
      </c>
      <c r="E101" s="282" t="str">
        <f>IF(AND(OR($D$26="Yes",$D$26=""),OR($D$32="Yes",$D$32="")),"None","")</f>
        <v>None</v>
      </c>
      <c r="G101" s="282" t="str">
        <f>IF(OR($D$28="Yes",$D$28=""),"No","")</f>
        <v/>
      </c>
    </row>
    <row r="102" spans="2:7" ht="15.75" hidden="1">
      <c r="B102" s="236" t="s">
        <v>2482</v>
      </c>
      <c r="D102" s="282" t="str">
        <f>IF(AND(OR($D$28="Yes",$D$28=""),OR($D$34="Yes",$D$34="")),"Yes","")</f>
        <v/>
      </c>
      <c r="E102" s="282" t="str">
        <f>IF(AND(OR($D$27="Yes",$D$27=""),OR($D$33="Yes",$D$33="")),"100%","")</f>
        <v/>
      </c>
      <c r="G102" s="282" t="str">
        <f>IF(OR($D$29="Yes",$D$29=""),"Yes","")</f>
        <v>Yes</v>
      </c>
    </row>
    <row r="103" spans="2:7" ht="15.75" hidden="1">
      <c r="B103" s="236" t="s">
        <v>2483</v>
      </c>
      <c r="D103" s="282" t="str">
        <f>IF(AND(OR($D$28="Yes",$D$28=""),OR($D$34="Yes",$D$34="")),"No","")</f>
        <v/>
      </c>
      <c r="E103" s="282" t="str">
        <f>IF(AND(OR($D$27="Yes",$D$27=""),OR($D$33="Yes",$D$33="")),"Greater than 90%","")</f>
        <v/>
      </c>
      <c r="G103" s="282" t="str">
        <f>IF(OR($D$29="Yes",$D$29=""),"No","")</f>
        <v>No</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Yes</v>
      </c>
      <c r="E105" s="282" t="str">
        <f>IF(AND(OR($D$27="Yes",$D$27=""),OR($D$33="Yes",$D$33="")),"Greater than 50%","")</f>
        <v/>
      </c>
    </row>
    <row r="106" spans="2:7" ht="15.75" hidden="1">
      <c r="B106" s="236" t="s">
        <v>12394</v>
      </c>
      <c r="D106" s="282" t="str">
        <f>IF(AND(OR($D$29="Yes",$D$29=""),OR($D$35="Yes",$D$35="")),"No","")</f>
        <v>No</v>
      </c>
      <c r="E106" s="282" t="str">
        <f>IF(AND(OR($D$27="Yes",$D$27=""),OR($D$33="Yes",$D$33="")),"50% or less","")</f>
        <v/>
      </c>
    </row>
    <row r="107" spans="2:7" ht="15.75" hidden="1">
      <c r="B107" s="236" t="s">
        <v>489</v>
      </c>
      <c r="D107" s="282" t="str">
        <f>IF(AND(OR($D$29="Yes",$D$29=""),OR($D$35="Yes",$D$35="")),"Unknown","")</f>
        <v>Unknown</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1B6C461-F11A-4B17-81E8-286592D10D61}"/>
    <hyperlink ref="G77" r:id="rId4" xr:uid="{3FBBD8AF-1332-4DB7-B646-4437A46ACCD5}"/>
    <hyperlink ref="D16" r:id="rId5" xr:uid="{B0ED8454-9DD6-4EB8-A8C2-6879B830A67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1411</v>
      </c>
      <c r="B5" s="182" t="str">
        <f ca="1">IF(LEN(A5)=0,"",INDEX('Smelter Look-up'!$A:$A,MATCH($A5,'Smelter Look-up'!$E:$E,0)))</f>
        <v>Tantalum</v>
      </c>
      <c r="C5" s="186" t="str">
        <f ca="1">IF(LEN(A5)=0,"",INDEX('Smelter Look-up'!$C:$C,MATCH($A5,'Smelter Look-up'!$E:$E,0)))</f>
        <v>TANIOBIS Co., Ltd.</v>
      </c>
      <c r="D5" s="230"/>
      <c r="E5" s="182" t="str">
        <f ca="1">IF(ISERROR($V5),"",OFFSET('Smelter Look-up'!$D$4,$V5-4,0)&amp;"")</f>
        <v>THAILAND</v>
      </c>
      <c r="F5" s="182" t="str">
        <f ca="1">IF(ISERROR($V5),"",OFFSET('Smelter Look-up'!$E$4,$V5-4,0))</f>
        <v>CID002544</v>
      </c>
      <c r="G5" s="182" t="str">
        <f ca="1">IF(C5=$X$4,IF(ISERROR($V5),"Enter smelter details","RMI"),IF(ISERROR($V5),"",OFFSET('Smelter Look-up'!$F$4,$V5-4,0)))</f>
        <v>RMI</v>
      </c>
      <c r="H5" s="183">
        <f ca="1">IF(ISERROR($V5),"",OFFSET('Smelter Look-up'!$G$4,$V5-4,0))</f>
        <v>0</v>
      </c>
      <c r="I5" s="184" t="str">
        <f ca="1">IF(ISERROR($V5),"",OFFSET('Smelter Look-up'!$H$4,$V5-4,0))</f>
        <v>Map Ta Phut</v>
      </c>
      <c r="J5" s="184" t="str">
        <f ca="1">IF(ISERROR($V5),"",OFFSET('Smelter Look-up'!$I$4,$V5-4,0))</f>
        <v>Rayong</v>
      </c>
      <c r="K5" s="224"/>
      <c r="L5" s="224"/>
      <c r="M5" s="224"/>
      <c r="N5" s="224"/>
      <c r="O5" s="224" t="s">
        <v>15799</v>
      </c>
      <c r="P5" s="185" t="s">
        <v>489</v>
      </c>
      <c r="Q5" s="225"/>
      <c r="R5" s="182" t="str">
        <f ca="1">IF(ISERROR($V5),"",OFFSET('Smelter Look-up'!$C$4,$V5-4,0)&amp;"")</f>
        <v>TANIOBIS Co., Ltd.</v>
      </c>
      <c r="S5" s="181" t="str">
        <f t="shared" ref="S5" ca="1" si="0">IF(B5="","",IF(ISERROR(MATCH($E5,CL,0)),"Unknown",INDIRECT("'C'!$A$"&amp;MATCH($E5,CL,0)+1)))</f>
        <v>TH</v>
      </c>
      <c r="T5" s="181" t="str">
        <f ca="1">IF(B5="","",IF(ISERROR(MATCH($J5,SorP!$B$1:$B$6279,0)),"",INDIRECT("'SorP'!$A$"&amp;MATCH($S5&amp;$J5,SorP!C:C,0))))</f>
        <v>TH-21</v>
      </c>
      <c r="U5" s="201"/>
      <c r="V5" s="226">
        <f ca="1">IF(C5="",NA(),IF(OR(C5="Smelter not listed",C5="Smelter not yet identified"),MATCH($B5&amp;$D5,'Smelter Look-up'!$J:$J,0),MATCH($B5&amp;$C5,'Smelter Look-up'!$J:$J,0)))</f>
        <v>373</v>
      </c>
      <c r="X5" s="227">
        <f t="shared" ref="X5" ca="1" si="1">IF(AND(C5="Smelter not listed",OR(LEN(D5)=0,LEN(E5)=0)),1,0)</f>
        <v>0</v>
      </c>
      <c r="AB5" s="228" t="str">
        <f t="shared" ref="AB5" ca="1" si="2">B5&amp;C5</f>
        <v>TantalumTANIOBIS Co., Ltd.</v>
      </c>
    </row>
    <row r="6" spans="1:34" s="227" customFormat="1" ht="19.899999999999999" customHeight="1">
      <c r="A6" s="262" t="s">
        <v>1414</v>
      </c>
      <c r="B6" s="182" t="str">
        <f ca="1">IF(LEN(A6)=0,"",INDEX('Smelter Look-up'!$A:$A,MATCH($A6,'Smelter Look-up'!$E:$E,0)))</f>
        <v>Tantalum</v>
      </c>
      <c r="C6" s="186" t="str">
        <f ca="1">IF(LEN(A6)=0,"",INDEX('Smelter Look-up'!$C:$C,MATCH($A6,'Smelter Look-up'!$E:$E,0)))</f>
        <v>Materion Newton Inc.</v>
      </c>
      <c r="D6" s="230"/>
      <c r="E6" s="182" t="str">
        <f ca="1">IF(ISERROR($V6),"",OFFSET('Smelter Look-up'!$D$4,$V6-4,0)&amp;"")</f>
        <v>UNITED STATES OF AMERICA</v>
      </c>
      <c r="F6" s="182" t="str">
        <f ca="1">IF(ISERROR($V6),"",OFFSET('Smelter Look-up'!$E$4,$V6-4,0))</f>
        <v>CID002548</v>
      </c>
      <c r="G6" s="182" t="str">
        <f ca="1">IF(C6=$X$4,IF(ISERROR($V6),"Enter smelter details","RMI"),IF(ISERROR($V6),"",OFFSET('Smelter Look-up'!$F$4,$V6-4,0)))</f>
        <v>RMI</v>
      </c>
      <c r="H6" s="183">
        <f ca="1">IF(ISERROR($V6),"",OFFSET('Smelter Look-up'!$G$4,$V6-4,0))</f>
        <v>0</v>
      </c>
      <c r="I6" s="184" t="str">
        <f ca="1">IF(ISERROR($V6),"",OFFSET('Smelter Look-up'!$H$4,$V6-4,0))</f>
        <v>Newton</v>
      </c>
      <c r="J6" s="184" t="str">
        <f ca="1">IF(ISERROR($V6),"",OFFSET('Smelter Look-up'!$I$4,$V6-4,0))</f>
        <v>Massachusetts</v>
      </c>
      <c r="K6" s="224"/>
      <c r="L6" s="224"/>
      <c r="M6" s="224"/>
      <c r="N6" s="224"/>
      <c r="O6" s="224" t="s">
        <v>15799</v>
      </c>
      <c r="P6" s="185" t="s">
        <v>489</v>
      </c>
      <c r="Q6" s="225"/>
      <c r="R6" s="182" t="str">
        <f ca="1">IF(ISERROR($V6),"",OFFSET('Smelter Look-up'!$C$4,$V6-4,0)&amp;"")</f>
        <v>Materion Newton Inc.</v>
      </c>
      <c r="S6" s="181" t="str">
        <f t="shared" ref="S6:S37" ca="1" si="3">IF(B6="","",IF(ISERROR(MATCH($E6,CL,0)),"Unknown",INDIRECT("'C'!$A$"&amp;MATCH($E6,CL,0)+1)))</f>
        <v>US</v>
      </c>
      <c r="T6" s="181" t="str">
        <f ca="1">IF(B6="","",IF(ISERROR(MATCH($J6,SorP!$B$1:$B$6279,0)),"",INDIRECT("'SorP'!$A$"&amp;MATCH($S6&amp;$J6,SorP!C:C,0))))</f>
        <v>US-MA</v>
      </c>
      <c r="U6" s="201"/>
      <c r="V6" s="226">
        <f ca="1">IF(C6="",NA(),IF(OR(C6="Smelter not listed",C6="Smelter not yet identified"),MATCH($B6&amp;$D6,'Smelter Look-up'!$J:$J,0),MATCH($B6&amp;$C6,'Smelter Look-up'!$J:$J,0)))</f>
        <v>348</v>
      </c>
      <c r="X6" s="227">
        <f t="shared" ref="X6:X37" ca="1" si="4">IF(AND(C6="Smelter not listed",OR(LEN(D6)=0,LEN(E6)=0)),1,0)</f>
        <v>0</v>
      </c>
      <c r="AB6" s="228" t="str">
        <f t="shared" ref="AB6:AB37" ca="1" si="5">B6&amp;C6</f>
        <v>TantalumMaterion Newton Inc.</v>
      </c>
    </row>
    <row r="7" spans="1:34" s="227" customFormat="1" ht="19.899999999999999" customHeight="1">
      <c r="A7" s="262" t="s">
        <v>1416</v>
      </c>
      <c r="B7" s="182" t="str">
        <f ca="1">IF(LEN(A7)=0,"",INDEX('Smelter Look-up'!$A:$A,MATCH($A7,'Smelter Look-up'!$E:$E,0)))</f>
        <v>Tantalum</v>
      </c>
      <c r="C7" s="186" t="str">
        <f ca="1">IF(LEN(A7)=0,"",INDEX('Smelter Look-up'!$C:$C,MATCH($A7,'Smelter Look-up'!$E:$E,0)))</f>
        <v>TANIOBIS Japan Co., Ltd.</v>
      </c>
      <c r="D7" s="230"/>
      <c r="E7" s="182" t="str">
        <f ca="1">IF(ISERROR($V7),"",OFFSET('Smelter Look-up'!$D$4,$V7-4,0)&amp;"")</f>
        <v>JAPAN</v>
      </c>
      <c r="F7" s="182" t="str">
        <f ca="1">IF(ISERROR($V7),"",OFFSET('Smelter Look-up'!$E$4,$V7-4,0))</f>
        <v>CID002549</v>
      </c>
      <c r="G7" s="182" t="str">
        <f ca="1">IF(C7=$X$4,IF(ISERROR($V7),"Enter smelter details","RMI"),IF(ISERROR($V7),"",OFFSET('Smelter Look-up'!$F$4,$V7-4,0)))</f>
        <v>RMI</v>
      </c>
      <c r="H7" s="183">
        <f ca="1">IF(ISERROR($V7),"",OFFSET('Smelter Look-up'!$G$4,$V7-4,0))</f>
        <v>0</v>
      </c>
      <c r="I7" s="184" t="str">
        <f ca="1">IF(ISERROR($V7),"",OFFSET('Smelter Look-up'!$H$4,$V7-4,0))</f>
        <v>Mito</v>
      </c>
      <c r="J7" s="184" t="str">
        <f ca="1">IF(ISERROR($V7),"",OFFSET('Smelter Look-up'!$I$4,$V7-4,0))</f>
        <v>Ibaraki</v>
      </c>
      <c r="K7" s="224"/>
      <c r="L7" s="224"/>
      <c r="M7" s="224"/>
      <c r="N7" s="224"/>
      <c r="O7" s="224" t="s">
        <v>15799</v>
      </c>
      <c r="P7" s="185" t="s">
        <v>489</v>
      </c>
      <c r="Q7" s="225"/>
      <c r="R7" s="182" t="str">
        <f ca="1">IF(ISERROR($V7),"",OFFSET('Smelter Look-up'!$C$4,$V7-4,0)&amp;"")</f>
        <v>TANIOBIS Japan Co., Ltd.</v>
      </c>
      <c r="S7" s="181" t="str">
        <f t="shared" ca="1" si="3"/>
        <v>JP</v>
      </c>
      <c r="T7" s="181" t="str">
        <f ca="1">IF(B7="","",IF(ISERROR(MATCH($J7,SorP!$B$1:$B$6279,0)),"",INDIRECT("'SorP'!$A$"&amp;MATCH($S7&amp;$J7,SorP!C:C,0))))</f>
        <v>JP-08</v>
      </c>
      <c r="U7" s="201"/>
      <c r="V7" s="226">
        <f ca="1">IF(C7="",NA(),IF(OR(C7="Smelter not listed",C7="Smelter not yet identified"),MATCH($B7&amp;$D7,'Smelter Look-up'!$J:$J,0),MATCH($B7&amp;$C7,'Smelter Look-up'!$J:$J,0)))</f>
        <v>375</v>
      </c>
      <c r="X7" s="227">
        <f t="shared" ca="1" si="4"/>
        <v>0</v>
      </c>
      <c r="AB7" s="228" t="str">
        <f t="shared" ca="1" si="5"/>
        <v>TantalumTANIOBIS Japan Co., Ltd.</v>
      </c>
    </row>
    <row r="8" spans="1:34" s="227" customFormat="1" ht="19.899999999999999" customHeight="1">
      <c r="A8" s="262" t="s">
        <v>1417</v>
      </c>
      <c r="B8" s="182" t="str">
        <f ca="1">IF(LEN(A8)=0,"",INDEX('Smelter Look-up'!$A:$A,MATCH($A8,'Smelter Look-up'!$E:$E,0)))</f>
        <v>Tantalum</v>
      </c>
      <c r="C8" s="186" t="str">
        <f ca="1">IF(LEN(A8)=0,"",INDEX('Smelter Look-up'!$C:$C,MATCH($A8,'Smelter Look-up'!$E:$E,0)))</f>
        <v>TANIOBIS Smelting GmbH &amp; Co. KG</v>
      </c>
      <c r="D8" s="230"/>
      <c r="E8" s="182" t="str">
        <f ca="1">IF(ISERROR($V8),"",OFFSET('Smelter Look-up'!$D$4,$V8-4,0)&amp;"")</f>
        <v>GERMANY</v>
      </c>
      <c r="F8" s="182" t="str">
        <f ca="1">IF(ISERROR($V8),"",OFFSET('Smelter Look-up'!$E$4,$V8-4,0))</f>
        <v>CID002550</v>
      </c>
      <c r="G8" s="182" t="str">
        <f ca="1">IF(C8=$X$4,IF(ISERROR($V8),"Enter smelter details","RMI"),IF(ISERROR($V8),"",OFFSET('Smelter Look-up'!$F$4,$V8-4,0)))</f>
        <v>RMI</v>
      </c>
      <c r="H8" s="183">
        <f ca="1">IF(ISERROR($V8),"",OFFSET('Smelter Look-up'!$G$4,$V8-4,0))</f>
        <v>0</v>
      </c>
      <c r="I8" s="184" t="str">
        <f ca="1">IF(ISERROR($V8),"",OFFSET('Smelter Look-up'!$H$4,$V8-4,0))</f>
        <v>Laufenburg</v>
      </c>
      <c r="J8" s="184" t="str">
        <f ca="1">IF(ISERROR($V8),"",OFFSET('Smelter Look-up'!$I$4,$V8-4,0))</f>
        <v>Baden-Württemberg</v>
      </c>
      <c r="K8" s="224"/>
      <c r="L8" s="224"/>
      <c r="M8" s="224"/>
      <c r="N8" s="224"/>
      <c r="O8" s="224" t="s">
        <v>15799</v>
      </c>
      <c r="P8" s="185" t="s">
        <v>489</v>
      </c>
      <c r="Q8" s="225"/>
      <c r="R8" s="182" t="str">
        <f ca="1">IF(ISERROR($V8),"",OFFSET('Smelter Look-up'!$C$4,$V8-4,0)&amp;"")</f>
        <v>TANIOBIS Smelting GmbH &amp; Co. KG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376</v>
      </c>
      <c r="X8" s="227">
        <f t="shared" ca="1" si="4"/>
        <v>0</v>
      </c>
      <c r="AB8" s="228" t="str">
        <f t="shared" ca="1" si="5"/>
        <v>TantalumTANIOBIS Smelting GmbH &amp; Co. KG</v>
      </c>
    </row>
    <row r="9" spans="1:34" s="227" customFormat="1" ht="19.899999999999999" customHeight="1">
      <c r="A9" s="262" t="s">
        <v>1412</v>
      </c>
      <c r="B9" s="182" t="str">
        <f ca="1">IF(LEN(A9)=0,"",INDEX('Smelter Look-up'!$A:$A,MATCH($A9,'Smelter Look-up'!$E:$E,0)))</f>
        <v>Tantalum</v>
      </c>
      <c r="C9" s="186" t="str">
        <f ca="1">IF(LEN(A9)=0,"",INDEX('Smelter Look-up'!$C:$C,MATCH($A9,'Smelter Look-up'!$E:$E,0)))</f>
        <v>TANIOBIS GmbH</v>
      </c>
      <c r="D9" s="230"/>
      <c r="E9" s="182" t="str">
        <f ca="1">IF(ISERROR($V9),"",OFFSET('Smelter Look-up'!$D$4,$V9-4,0)&amp;"")</f>
        <v>GERMANY</v>
      </c>
      <c r="F9" s="182" t="str">
        <f ca="1">IF(ISERROR($V9),"",OFFSET('Smelter Look-up'!$E$4,$V9-4,0))</f>
        <v>CID002545</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t="s">
        <v>15799</v>
      </c>
      <c r="P9" s="185" t="s">
        <v>489</v>
      </c>
      <c r="Q9" s="225"/>
      <c r="R9" s="182" t="str">
        <f ca="1">IF(ISERROR($V9),"",OFFSET('Smelter Look-up'!$C$4,$V9-4,0)&amp;"")</f>
        <v>TANIOBIS GmbH</v>
      </c>
      <c r="S9" s="181" t="str">
        <f t="shared" ca="1" si="3"/>
        <v>DE</v>
      </c>
      <c r="T9" s="181" t="str">
        <f ca="1">IF(B9="","",IF(ISERROR(MATCH($J9,SorP!$B$1:$B$6279,0)),"",INDIRECT("'SorP'!$A$"&amp;MATCH($S9&amp;$J9,SorP!C:C,0))))</f>
        <v>DE-NI</v>
      </c>
      <c r="U9" s="201"/>
      <c r="V9" s="226">
        <f ca="1">IF(C9="",NA(),IF(OR(C9="Smelter not listed",C9="Smelter not yet identified"),MATCH($B9&amp;$D9,'Smelter Look-up'!$J:$J,0),MATCH($B9&amp;$C9,'Smelter Look-up'!$J:$J,0)))</f>
        <v>374</v>
      </c>
      <c r="X9" s="227">
        <f t="shared" ca="1" si="4"/>
        <v>0</v>
      </c>
      <c r="AB9" s="228" t="str">
        <f t="shared" ca="1" si="5"/>
        <v>TantalumTANIOBIS GmbH</v>
      </c>
    </row>
    <row r="10" spans="1:34" s="227" customFormat="1" ht="19.899999999999999" customHeight="1">
      <c r="A10" s="262" t="s">
        <v>1421</v>
      </c>
      <c r="B10" s="182" t="str">
        <f ca="1">IF(LEN(A10)=0,"",INDEX('Smelter Look-up'!$A:$A,MATCH($A10,'Smelter Look-up'!$E:$E,0)))</f>
        <v>Tungsten</v>
      </c>
      <c r="C10" s="186" t="str">
        <f ca="1">IF(LEN(A10)=0,"",INDEX('Smelter Look-up'!$C:$C,MATCH($A10,'Smelter Look-up'!$E:$E,0)))</f>
        <v>H.C. Starck Tungsten GmbH</v>
      </c>
      <c r="D10" s="230"/>
      <c r="E10" s="182" t="str">
        <f ca="1">IF(ISERROR($V10),"",OFFSET('Smelter Look-up'!$D$4,$V10-4,0)&amp;"")</f>
        <v>GERMANY</v>
      </c>
      <c r="F10" s="182" t="str">
        <f ca="1">IF(ISERROR($V10),"",OFFSET('Smelter Look-up'!$E$4,$V10-4,0))</f>
        <v>CID002541</v>
      </c>
      <c r="G10" s="182" t="str">
        <f ca="1">IF(C10=$X$4,IF(ISERROR($V10),"Enter smelter details","RMI"),IF(ISERROR($V10),"",OFFSET('Smelter Look-up'!$F$4,$V10-4,0)))</f>
        <v>RMI</v>
      </c>
      <c r="H10" s="183">
        <f ca="1">IF(ISERROR($V10),"",OFFSET('Smelter Look-up'!$G$4,$V10-4,0))</f>
        <v>0</v>
      </c>
      <c r="I10" s="184" t="str">
        <f ca="1">IF(ISERROR($V10),"",OFFSET('Smelter Look-up'!$H$4,$V10-4,0))</f>
        <v>Goslar</v>
      </c>
      <c r="J10" s="184" t="str">
        <f ca="1">IF(ISERROR($V10),"",OFFSET('Smelter Look-up'!$I$4,$V10-4,0))</f>
        <v>Niedersachsen</v>
      </c>
      <c r="K10" s="224"/>
      <c r="L10" s="224"/>
      <c r="M10" s="224"/>
      <c r="N10" s="224"/>
      <c r="O10" s="224" t="s">
        <v>15799</v>
      </c>
      <c r="P10" s="185" t="s">
        <v>489</v>
      </c>
      <c r="Q10" s="225"/>
      <c r="R10" s="182" t="str">
        <f ca="1">IF(ISERROR($V10),"",OFFSET('Smelter Look-up'!$C$4,$V10-4,0)&amp;"")</f>
        <v>H.C. Starck Tungsten GmbH</v>
      </c>
      <c r="S10" s="181" t="str">
        <f t="shared" ca="1" si="3"/>
        <v>DE</v>
      </c>
      <c r="T10" s="181" t="str">
        <f ca="1">IF(B10="","",IF(ISERROR(MATCH($J10,SorP!$B$1:$B$6279,0)),"",INDIRECT("'SorP'!$A$"&amp;MATCH($S10&amp;$J10,SorP!C:C,0))))</f>
        <v>DE-NI</v>
      </c>
      <c r="U10" s="201"/>
      <c r="V10" s="226">
        <f ca="1">IF(C10="",NA(),IF(OR(C10="Smelter not listed",C10="Smelter not yet identified"),MATCH($B10&amp;$D10,'Smelter Look-up'!$J:$J,0),MATCH($B10&amp;$C10,'Smelter Look-up'!$J:$J,0)))</f>
        <v>589</v>
      </c>
      <c r="X10" s="227">
        <f t="shared" ca="1" si="4"/>
        <v>0</v>
      </c>
      <c r="AB10" s="228" t="str">
        <f t="shared" ca="1" si="5"/>
        <v>TungstenH.C. Starck Tungsten GmbH</v>
      </c>
    </row>
    <row r="11" spans="1:34" s="227" customFormat="1" ht="19.899999999999999" customHeight="1">
      <c r="A11" s="262" t="s">
        <v>1425</v>
      </c>
      <c r="B11" s="182" t="str">
        <f ca="1">IF(LEN(A11)=0,"",INDEX('Smelter Look-up'!$A:$A,MATCH($A11,'Smelter Look-up'!$E:$E,0)))</f>
        <v>Tungsten</v>
      </c>
      <c r="C11" s="186" t="str">
        <f ca="1">IF(LEN(A11)=0,"",INDEX('Smelter Look-up'!$C:$C,MATCH($A11,'Smelter Look-up'!$E:$E,0)))</f>
        <v>Masan High-Tech Materials</v>
      </c>
      <c r="D11" s="230"/>
      <c r="E11" s="182" t="str">
        <f ca="1">IF(ISERROR($V11),"",OFFSET('Smelter Look-up'!$D$4,$V11-4,0)&amp;"")</f>
        <v>VIET NAM</v>
      </c>
      <c r="F11" s="182" t="str">
        <f ca="1">IF(ISERROR($V11),"",OFFSET('Smelter Look-up'!$E$4,$V11-4,0))</f>
        <v>CID002543</v>
      </c>
      <c r="G11" s="182" t="str">
        <f ca="1">IF(C11=$X$4,IF(ISERROR($V11),"Enter smelter details","RMI"),IF(ISERROR($V11),"",OFFSET('Smelter Look-up'!$F$4,$V11-4,0)))</f>
        <v>RMI</v>
      </c>
      <c r="H11" s="183">
        <f ca="1">IF(ISERROR($V11),"",OFFSET('Smelter Look-up'!$G$4,$V11-4,0))</f>
        <v>0</v>
      </c>
      <c r="I11" s="184" t="str">
        <f ca="1">IF(ISERROR($V11),"",OFFSET('Smelter Look-up'!$H$4,$V11-4,0))</f>
        <v>Dai Tu</v>
      </c>
      <c r="J11" s="184" t="str">
        <f ca="1">IF(ISERROR($V11),"",OFFSET('Smelter Look-up'!$I$4,$V11-4,0))</f>
        <v>Thái Nguyên</v>
      </c>
      <c r="K11" s="224"/>
      <c r="L11" s="224"/>
      <c r="M11" s="224"/>
      <c r="N11" s="224"/>
      <c r="O11" s="224" t="s">
        <v>15799</v>
      </c>
      <c r="P11" s="185" t="s">
        <v>489</v>
      </c>
      <c r="Q11" s="225"/>
      <c r="R11" s="182" t="str">
        <f ca="1">IF(ISERROR($V11),"",OFFSET('Smelter Look-up'!$C$4,$V11-4,0)&amp;"")</f>
        <v>Masan High-Tech Materials</v>
      </c>
      <c r="S11" s="181" t="str">
        <f t="shared" ca="1" si="3"/>
        <v>VN</v>
      </c>
      <c r="T11" s="181" t="str">
        <f ca="1">IF(B11="","",IF(ISERROR(MATCH($J11,SorP!$B$1:$B$6279,0)),"",INDIRECT("'SorP'!$A$"&amp;MATCH($S11&amp;$J11,SorP!C:C,0))))</f>
        <v>VN-69</v>
      </c>
      <c r="U11" s="201"/>
      <c r="V11" s="226">
        <f ca="1">IF(C11="",NA(),IF(OR(C11="Smelter not listed",C11="Smelter not yet identified"),MATCH($B11&amp;$D11,'Smelter Look-up'!$J:$J,0),MATCH($B11&amp;$C11,'Smelter Look-up'!$J:$J,0)))</f>
        <v>616</v>
      </c>
      <c r="X11" s="227">
        <f t="shared" ca="1" si="4"/>
        <v>0</v>
      </c>
      <c r="AB11" s="228" t="str">
        <f t="shared" ca="1" si="5"/>
        <v>TungstenMasan High-Tech Materials</v>
      </c>
    </row>
    <row r="12" spans="1:34" s="227" customFormat="1" ht="19.899999999999999" customHeight="1">
      <c r="A12" s="262" t="s">
        <v>1424</v>
      </c>
      <c r="B12" s="182" t="str">
        <f ca="1">IF(LEN(A12)=0,"",INDEX('Smelter Look-up'!$A:$A,MATCH($A12,'Smelter Look-up'!$E:$E,0)))</f>
        <v>Tungsten</v>
      </c>
      <c r="C12" s="186" t="str">
        <f ca="1">IF(LEN(A12)=0,"",INDEX('Smelter Look-up'!$C:$C,MATCH($A12,'Smelter Look-up'!$E:$E,0)))</f>
        <v>Jiangwu H.C. Starck Tungsten Products Co., Ltd.</v>
      </c>
      <c r="D12" s="230"/>
      <c r="E12" s="182" t="str">
        <f ca="1">IF(ISERROR($V12),"",OFFSET('Smelter Look-up'!$D$4,$V12-4,0)&amp;"")</f>
        <v>CHINA</v>
      </c>
      <c r="F12" s="182" t="str">
        <f ca="1">IF(ISERROR($V12),"",OFFSET('Smelter Look-up'!$E$4,$V12-4,0))</f>
        <v>CID002551</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t="s">
        <v>15799</v>
      </c>
      <c r="P12" s="185" t="s">
        <v>489</v>
      </c>
      <c r="Q12" s="225"/>
      <c r="R12" s="182" t="str">
        <f ca="1">IF(ISERROR($V12),"",OFFSET('Smelter Look-up'!$C$4,$V12-4,0)&amp;"")</f>
        <v>Jiangwu H.C. Starck Tungsten Products Co., Ltd.</v>
      </c>
      <c r="S12" s="181" t="str">
        <f t="shared" ca="1" si="3"/>
        <v>CN</v>
      </c>
      <c r="T12" s="181" t="str">
        <f ca="1">IF(B12="","",IF(ISERROR(MATCH($J12,SorP!$B$1:$B$6279,0)),"",INDIRECT("'SorP'!$A$"&amp;MATCH($S12&amp;$J12,SorP!C:C,0))))</f>
        <v>CN-JX</v>
      </c>
      <c r="U12" s="201"/>
      <c r="V12" s="226">
        <f ca="1">IF(C12="",NA(),IF(OR(C12="Smelter not listed",C12="Smelter not yet identified"),MATCH($B12&amp;$D12,'Smelter Look-up'!$J:$J,0),MATCH($B12&amp;$C12,'Smelter Look-up'!$J:$J,0)))</f>
        <v>601</v>
      </c>
      <c r="X12" s="227">
        <f t="shared" ca="1" si="4"/>
        <v>0</v>
      </c>
      <c r="AB12" s="228" t="str">
        <f t="shared" ca="1" si="5"/>
        <v>TungstenJiangwu H.C. Starck Tungsten Products Co., Ltd.</v>
      </c>
    </row>
    <row r="13" spans="1:34" s="227" customFormat="1" ht="19.899999999999999" customHeight="1">
      <c r="A13" s="262" t="s">
        <v>792</v>
      </c>
      <c r="B13" s="182" t="str">
        <f ca="1">IF(LEN(A13)=0,"",INDEX('Smelter Look-up'!$A:$A,MATCH($A13,'Smelter Look-up'!$E:$E,0)))</f>
        <v>Tungsten</v>
      </c>
      <c r="C13" s="186" t="str">
        <f ca="1">IF(LEN(A13)=0,"",INDEX('Smelter Look-up'!$C:$C,MATCH($A13,'Smelter Look-up'!$E:$E,0)))</f>
        <v>Global Tungsten &amp; Powders Corp.</v>
      </c>
      <c r="D13" s="230"/>
      <c r="E13" s="182" t="str">
        <f ca="1">IF(ISERROR($V13),"",OFFSET('Smelter Look-up'!$D$4,$V13-4,0)&amp;"")</f>
        <v>UNITED STATES OF AMERICA</v>
      </c>
      <c r="F13" s="182" t="str">
        <f ca="1">IF(ISERROR($V13),"",OFFSET('Smelter Look-up'!$E$4,$V13-4,0))</f>
        <v>CID000568</v>
      </c>
      <c r="G13" s="182" t="str">
        <f ca="1">IF(C13=$X$4,IF(ISERROR($V13),"Enter smelter details","RMI"),IF(ISERROR($V13),"",OFFSET('Smelter Look-up'!$F$4,$V13-4,0)))</f>
        <v>RMI</v>
      </c>
      <c r="H13" s="183">
        <f ca="1">IF(ISERROR($V13),"",OFFSET('Smelter Look-up'!$G$4,$V13-4,0))</f>
        <v>0</v>
      </c>
      <c r="I13" s="184" t="str">
        <f ca="1">IF(ISERROR($V13),"",OFFSET('Smelter Look-up'!$H$4,$V13-4,0))</f>
        <v>Towanda</v>
      </c>
      <c r="J13" s="184" t="str">
        <f ca="1">IF(ISERROR($V13),"",OFFSET('Smelter Look-up'!$I$4,$V13-4,0))</f>
        <v>Pennsylvania</v>
      </c>
      <c r="K13" s="224"/>
      <c r="L13" s="224"/>
      <c r="M13" s="224"/>
      <c r="N13" s="224"/>
      <c r="O13" s="224" t="s">
        <v>15799</v>
      </c>
      <c r="P13" s="185" t="s">
        <v>489</v>
      </c>
      <c r="Q13" s="225"/>
      <c r="R13" s="182" t="str">
        <f ca="1">IF(ISERROR($V13),"",OFFSET('Smelter Look-up'!$C$4,$V13-4,0)&amp;"")</f>
        <v>Global Tungsten &amp; Powders Corp.</v>
      </c>
      <c r="S13" s="181" t="str">
        <f t="shared" ca="1" si="3"/>
        <v>US</v>
      </c>
      <c r="T13" s="181" t="str">
        <f ca="1">IF(B13="","",IF(ISERROR(MATCH($J13,SorP!$B$1:$B$6279,0)),"",INDIRECT("'SorP'!$A$"&amp;MATCH($S13&amp;$J13,SorP!C:C,0))))</f>
        <v>US-PA</v>
      </c>
      <c r="U13" s="201"/>
      <c r="V13" s="226">
        <f ca="1">IF(C13="",NA(),IF(OR(C13="Smelter not listed",C13="Smelter not yet identified"),MATCH($B13&amp;$D13,'Smelter Look-up'!$J:$J,0),MATCH($B13&amp;$C13,'Smelter Look-up'!$J:$J,0)))</f>
        <v>585</v>
      </c>
      <c r="X13" s="227">
        <f t="shared" ca="1" si="4"/>
        <v>0</v>
      </c>
      <c r="AB13" s="228" t="str">
        <f t="shared" ca="1" si="5"/>
        <v>TungstenGlobal Tungsten &amp; Powders Corp.</v>
      </c>
    </row>
    <row r="14" spans="1:34" s="227" customFormat="1" ht="19.899999999999999" customHeight="1">
      <c r="A14" s="262" t="s">
        <v>1841</v>
      </c>
      <c r="B14" s="182" t="str">
        <f ca="1">IF(LEN(A14)=0,"",INDEX('Smelter Look-up'!$A:$A,MATCH($A14,'Smelter Look-up'!$E:$E,0)))</f>
        <v>Tungsten</v>
      </c>
      <c r="C14" s="186" t="str">
        <f ca="1">IF(LEN(A14)=0,"",INDEX('Smelter Look-up'!$C:$C,MATCH($A14,'Smelter Look-up'!$E:$E,0)))</f>
        <v>Niagara Refining LLC</v>
      </c>
      <c r="D14" s="230"/>
      <c r="E14" s="182" t="str">
        <f ca="1">IF(ISERROR($V14),"",OFFSET('Smelter Look-up'!$D$4,$V14-4,0)&amp;"")</f>
        <v>UNITED STATES OF AMERICA</v>
      </c>
      <c r="F14" s="182" t="str">
        <f ca="1">IF(ISERROR($V14),"",OFFSET('Smelter Look-up'!$E$4,$V14-4,0))</f>
        <v>CID002589</v>
      </c>
      <c r="G14" s="182" t="str">
        <f ca="1">IF(C14=$X$4,IF(ISERROR($V14),"Enter smelter details","RMI"),IF(ISERROR($V14),"",OFFSET('Smelter Look-up'!$F$4,$V14-4,0)))</f>
        <v>RMI</v>
      </c>
      <c r="H14" s="183">
        <f ca="1">IF(ISERROR($V14),"",OFFSET('Smelter Look-up'!$G$4,$V14-4,0))</f>
        <v>0</v>
      </c>
      <c r="I14" s="184" t="str">
        <f ca="1">IF(ISERROR($V14),"",OFFSET('Smelter Look-up'!$H$4,$V14-4,0))</f>
        <v>Depew</v>
      </c>
      <c r="J14" s="184" t="str">
        <f ca="1">IF(ISERROR($V14),"",OFFSET('Smelter Look-up'!$I$4,$V14-4,0))</f>
        <v>New York</v>
      </c>
      <c r="K14" s="224"/>
      <c r="L14" s="224"/>
      <c r="M14" s="224"/>
      <c r="N14" s="224"/>
      <c r="O14" s="224"/>
      <c r="P14" s="185"/>
      <c r="Q14" s="225"/>
      <c r="R14" s="182" t="str">
        <f ca="1">IF(ISERROR($V14),"",OFFSET('Smelter Look-up'!$C$4,$V14-4,0)&amp;"")</f>
        <v>Niagara Refining LLC</v>
      </c>
      <c r="S14" s="181" t="str">
        <f t="shared" ca="1" si="3"/>
        <v>US</v>
      </c>
      <c r="T14" s="181" t="str">
        <f ca="1">IF(B14="","",IF(ISERROR(MATCH($J14,SorP!$B$1:$B$6279,0)),"",INDIRECT("'SorP'!$A$"&amp;MATCH($S14&amp;$J14,SorP!C:C,0))))</f>
        <v>US-NY</v>
      </c>
      <c r="U14" s="201"/>
      <c r="V14" s="226">
        <f ca="1">IF(C14="",NA(),IF(OR(C14="Smelter not listed",C14="Smelter not yet identified"),MATCH($B14&amp;$D14,'Smelter Look-up'!$J:$J,0),MATCH($B14&amp;$C14,'Smelter Look-up'!$J:$J,0)))</f>
        <v>621</v>
      </c>
      <c r="X14" s="227">
        <f t="shared" ca="1" si="4"/>
        <v>0</v>
      </c>
      <c r="AB14" s="228" t="str">
        <f t="shared" ca="1" si="5"/>
        <v>TungstenNiagara Refining LLC</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621DDD-999D-4098-9DA6-2F1DCE9D2BB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Elmet Technologies LLC (includes Elmet Coldwater LLC and Elmet Euclid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Producer of Tungsten Metal Powder and tungsten products. Processor of tantalum provided by others.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Tim Nicholson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tnicholson@elmettech.com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517-279-3664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 Lemon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blemon@elmettech.com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45352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https://www.elmettechnologies.com/about-elmet/customer-resources/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2024-03-27T20:00:44Z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